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xr:revisionPtr revIDLastSave="0" documentId="13_ncr:1_{EE9874BE-1E79-49FE-842D-87B1AB9EF648}" xr6:coauthVersionLast="34" xr6:coauthVersionMax="34" xr10:uidLastSave="{00000000-0000-0000-0000-000000000000}"/>
  <bookViews>
    <workbookView xWindow="0" yWindow="0" windowWidth="22260" windowHeight="8880" tabRatio="853" xr2:uid="{00000000-000D-0000-FFFF-FFFF00000000}"/>
  </bookViews>
  <sheets>
    <sheet name="Summary" sheetId="5" r:id="rId1"/>
    <sheet name="A-Project Costs" sheetId="4" r:id="rId2"/>
    <sheet name="B-Alt Project Cost" sheetId="6" r:id="rId3"/>
    <sheet name="C-Emmisions" sheetId="7" r:id="rId4"/>
    <sheet name="D-Operating Costs" sheetId="8" r:id="rId5"/>
    <sheet name="E-Travel Times" sheetId="9" r:id="rId6"/>
    <sheet name="F-Emergency Services" sheetId="10" r:id="rId7"/>
    <sheet name="G-Crash Reduction" sheetId="12" r:id="rId8"/>
    <sheet name="H-Employment Impacts" sheetId="13" r:id="rId9"/>
    <sheet name="I-Livability" sheetId="14" r:id="rId10"/>
  </sheets>
  <definedNames>
    <definedName name="_xlnm.Print_Area" localSheetId="0">Summary!$A$1:$C$48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5" l="1"/>
  <c r="C15" i="5" s="1"/>
  <c r="C13" i="5"/>
  <c r="F6" i="4"/>
  <c r="F41" i="4"/>
  <c r="N41" i="4"/>
  <c r="I20" i="14"/>
  <c r="I19" i="14"/>
  <c r="I18" i="14"/>
  <c r="I14" i="14"/>
  <c r="I17" i="14"/>
  <c r="G51" i="9" l="1"/>
  <c r="G50" i="9"/>
  <c r="G49" i="9"/>
  <c r="G48" i="9"/>
  <c r="G47" i="9"/>
  <c r="G46" i="9"/>
  <c r="G45" i="9"/>
  <c r="G44" i="9"/>
  <c r="G43" i="9"/>
  <c r="G42" i="9"/>
  <c r="G41" i="9"/>
  <c r="G40" i="9"/>
  <c r="G39" i="9"/>
  <c r="G38" i="9"/>
  <c r="G37" i="9"/>
  <c r="G36" i="9"/>
  <c r="G35" i="9"/>
  <c r="G34" i="9"/>
  <c r="G33" i="9"/>
  <c r="G32" i="9"/>
  <c r="G31" i="9"/>
  <c r="G30" i="9"/>
  <c r="G29" i="9"/>
  <c r="G28" i="9"/>
  <c r="G27" i="9"/>
  <c r="G32" i="10" l="1"/>
  <c r="F33" i="10"/>
  <c r="F34" i="10"/>
  <c r="F35" i="10"/>
  <c r="F36" i="10"/>
  <c r="F37" i="10"/>
  <c r="F38" i="10"/>
  <c r="F39" i="10"/>
  <c r="F40" i="10"/>
  <c r="F41" i="10"/>
  <c r="F42" i="10"/>
  <c r="F43" i="10"/>
  <c r="F44" i="10"/>
  <c r="F45" i="10"/>
  <c r="F46" i="10"/>
  <c r="F47" i="10"/>
  <c r="F48" i="10"/>
  <c r="F49" i="10"/>
  <c r="F50" i="10"/>
  <c r="F51" i="10"/>
  <c r="F52" i="10"/>
  <c r="F53" i="10"/>
  <c r="F54" i="10"/>
  <c r="F55" i="10"/>
  <c r="F56" i="10"/>
  <c r="F57" i="10"/>
  <c r="I24" i="14"/>
  <c r="I23" i="14" l="1"/>
  <c r="H34" i="14" s="1"/>
  <c r="P63" i="14"/>
  <c r="P55" i="14"/>
  <c r="P47" i="14"/>
  <c r="P39" i="14"/>
  <c r="P49" i="14"/>
  <c r="P41" i="14"/>
  <c r="P56" i="14"/>
  <c r="P62" i="14"/>
  <c r="P54" i="14"/>
  <c r="P46" i="14"/>
  <c r="P38" i="14"/>
  <c r="P37" i="14"/>
  <c r="P68" i="14"/>
  <c r="P52" i="14"/>
  <c r="P36" i="14"/>
  <c r="P42" i="14"/>
  <c r="P48" i="14"/>
  <c r="P61" i="14"/>
  <c r="P53" i="14"/>
  <c r="P45" i="14"/>
  <c r="P60" i="14"/>
  <c r="P44" i="14"/>
  <c r="P35" i="14"/>
  <c r="P66" i="14"/>
  <c r="P58" i="14"/>
  <c r="P34" i="14"/>
  <c r="P57" i="14"/>
  <c r="P64" i="14"/>
  <c r="P40" i="14"/>
  <c r="P67" i="14"/>
  <c r="P59" i="14"/>
  <c r="P51" i="14"/>
  <c r="P43" i="14"/>
  <c r="P50" i="14"/>
  <c r="P65" i="14"/>
  <c r="H5" i="12"/>
  <c r="A3" i="12"/>
  <c r="H13" i="10" l="1"/>
  <c r="H12" i="10"/>
  <c r="H15" i="10"/>
  <c r="H8" i="10"/>
  <c r="H9" i="10"/>
  <c r="H10" i="10"/>
  <c r="F10" i="10"/>
  <c r="F13" i="10" s="1"/>
  <c r="F12" i="10"/>
  <c r="F9" i="10"/>
  <c r="H11" i="10" l="1"/>
  <c r="H10" i="12" l="1"/>
  <c r="G10" i="9"/>
  <c r="B31" i="10"/>
  <c r="B30" i="10"/>
  <c r="B29" i="10"/>
  <c r="B28" i="10"/>
  <c r="B27" i="10"/>
  <c r="B26" i="10"/>
  <c r="B25" i="10"/>
  <c r="B24" i="10"/>
  <c r="B23" i="10"/>
  <c r="B42" i="7"/>
  <c r="B41" i="7"/>
  <c r="B40" i="7"/>
  <c r="B39" i="7"/>
  <c r="B38" i="7"/>
  <c r="B37" i="7"/>
  <c r="B36" i="7"/>
  <c r="B35" i="7"/>
  <c r="B34" i="7"/>
  <c r="B33" i="7"/>
  <c r="E43" i="6"/>
  <c r="D43" i="6"/>
  <c r="C43" i="6"/>
  <c r="B43" i="6"/>
  <c r="E42" i="6"/>
  <c r="D42" i="6"/>
  <c r="C42" i="6"/>
  <c r="B42" i="6"/>
  <c r="E41" i="6"/>
  <c r="D41" i="6"/>
  <c r="C41" i="6"/>
  <c r="B41" i="6"/>
  <c r="E40" i="6"/>
  <c r="D40" i="6"/>
  <c r="C40" i="6"/>
  <c r="B40" i="6"/>
  <c r="E39" i="6"/>
  <c r="D39" i="6"/>
  <c r="C39" i="6"/>
  <c r="B39" i="6"/>
  <c r="E38" i="6"/>
  <c r="D38" i="6"/>
  <c r="C38" i="6"/>
  <c r="B38" i="6"/>
  <c r="E37" i="6"/>
  <c r="D37" i="6"/>
  <c r="C37" i="6"/>
  <c r="B37" i="6"/>
  <c r="E36" i="6"/>
  <c r="D36" i="6"/>
  <c r="C36" i="6"/>
  <c r="B36" i="6"/>
  <c r="E35" i="6"/>
  <c r="D35" i="6"/>
  <c r="C35" i="6"/>
  <c r="B35" i="6"/>
  <c r="E34" i="6"/>
  <c r="D34" i="6"/>
  <c r="C34" i="6"/>
  <c r="B34" i="6"/>
  <c r="E33" i="6"/>
  <c r="D33" i="6"/>
  <c r="C33" i="6"/>
  <c r="B33" i="6"/>
  <c r="E32" i="6"/>
  <c r="D32" i="6"/>
  <c r="C32" i="6"/>
  <c r="B32" i="6"/>
  <c r="E31" i="6"/>
  <c r="D31" i="6"/>
  <c r="C31" i="6"/>
  <c r="B31" i="6"/>
  <c r="E30" i="6"/>
  <c r="D30" i="6"/>
  <c r="C30" i="6"/>
  <c r="B30" i="6"/>
  <c r="E29" i="6"/>
  <c r="D29" i="6"/>
  <c r="C29" i="6"/>
  <c r="B29" i="6"/>
  <c r="E28" i="6"/>
  <c r="D28" i="6"/>
  <c r="C28" i="6"/>
  <c r="B28" i="6"/>
  <c r="E27" i="6"/>
  <c r="D27" i="6"/>
  <c r="C27" i="6"/>
  <c r="B27" i="6"/>
  <c r="E26" i="6"/>
  <c r="D26" i="6"/>
  <c r="C26" i="6"/>
  <c r="B26" i="6"/>
  <c r="E25" i="6"/>
  <c r="D25" i="6"/>
  <c r="C25" i="6"/>
  <c r="B25" i="6"/>
  <c r="E24" i="6"/>
  <c r="D24" i="6"/>
  <c r="C24" i="6"/>
  <c r="B24" i="6"/>
  <c r="E23" i="6"/>
  <c r="D23" i="6"/>
  <c r="C23" i="6"/>
  <c r="B23" i="6"/>
  <c r="E22" i="6"/>
  <c r="D22" i="6"/>
  <c r="C22" i="6"/>
  <c r="B22" i="6"/>
  <c r="E21" i="6"/>
  <c r="D21" i="6"/>
  <c r="C21" i="6"/>
  <c r="B21" i="6"/>
  <c r="E20" i="6"/>
  <c r="D20" i="6"/>
  <c r="C20" i="6"/>
  <c r="B20" i="6"/>
  <c r="E19" i="6"/>
  <c r="D19" i="6"/>
  <c r="C19" i="6"/>
  <c r="B19" i="6"/>
  <c r="E18" i="6"/>
  <c r="D18" i="6"/>
  <c r="C18" i="6"/>
  <c r="B18" i="6"/>
  <c r="E17" i="6"/>
  <c r="D17" i="6"/>
  <c r="C17" i="6"/>
  <c r="B17" i="6"/>
  <c r="E16" i="6"/>
  <c r="D16" i="6"/>
  <c r="C16" i="6"/>
  <c r="B16" i="6"/>
  <c r="E15" i="6"/>
  <c r="D15" i="6"/>
  <c r="C15" i="6"/>
  <c r="B15" i="6"/>
  <c r="E14" i="6"/>
  <c r="D14" i="6"/>
  <c r="C14" i="6"/>
  <c r="B14" i="6"/>
  <c r="E13" i="6"/>
  <c r="D13" i="6"/>
  <c r="C13" i="6"/>
  <c r="B13" i="6"/>
  <c r="E12" i="6"/>
  <c r="D12" i="6"/>
  <c r="C12" i="6"/>
  <c r="B12" i="6"/>
  <c r="E11" i="6"/>
  <c r="D11" i="6"/>
  <c r="C11" i="6"/>
  <c r="B11" i="6"/>
  <c r="E10" i="6"/>
  <c r="D10" i="6"/>
  <c r="C10" i="6"/>
  <c r="B10" i="6"/>
  <c r="E9" i="6"/>
  <c r="D9" i="6"/>
  <c r="C9" i="6"/>
  <c r="B9" i="6"/>
  <c r="E41" i="4"/>
  <c r="D41" i="4"/>
  <c r="C41" i="4"/>
  <c r="B41" i="4"/>
  <c r="E40" i="4"/>
  <c r="D40" i="4"/>
  <c r="C40" i="4"/>
  <c r="B40" i="4"/>
  <c r="E39" i="4"/>
  <c r="D39" i="4"/>
  <c r="C39" i="4"/>
  <c r="B39" i="4"/>
  <c r="E38" i="4"/>
  <c r="D38" i="4"/>
  <c r="C38" i="4"/>
  <c r="B38" i="4"/>
  <c r="E37" i="4"/>
  <c r="D37" i="4"/>
  <c r="C37" i="4"/>
  <c r="B37" i="4"/>
  <c r="E36" i="4"/>
  <c r="D36" i="4"/>
  <c r="C36" i="4"/>
  <c r="B36" i="4"/>
  <c r="E35" i="4"/>
  <c r="D35" i="4"/>
  <c r="C35" i="4"/>
  <c r="B35" i="4"/>
  <c r="E34" i="4"/>
  <c r="D34" i="4"/>
  <c r="C34" i="4"/>
  <c r="B34" i="4"/>
  <c r="E33" i="4"/>
  <c r="D33" i="4"/>
  <c r="C33" i="4"/>
  <c r="B33" i="4"/>
  <c r="E32" i="4"/>
  <c r="D32" i="4"/>
  <c r="C32" i="4"/>
  <c r="B32" i="4"/>
  <c r="E31" i="4"/>
  <c r="D31" i="4"/>
  <c r="C31" i="4"/>
  <c r="B31" i="4"/>
  <c r="E30" i="4"/>
  <c r="D30" i="4"/>
  <c r="C30" i="4"/>
  <c r="B30" i="4"/>
  <c r="E29" i="4"/>
  <c r="D29" i="4"/>
  <c r="C29" i="4"/>
  <c r="B29" i="4"/>
  <c r="E28" i="4"/>
  <c r="D28" i="4"/>
  <c r="C28" i="4"/>
  <c r="B28" i="4"/>
  <c r="E27" i="4"/>
  <c r="D27" i="4"/>
  <c r="C27" i="4"/>
  <c r="B27" i="4"/>
  <c r="E26" i="4"/>
  <c r="D26" i="4"/>
  <c r="C26" i="4"/>
  <c r="B26" i="4"/>
  <c r="E25" i="4"/>
  <c r="D25" i="4"/>
  <c r="C25" i="4"/>
  <c r="B25" i="4"/>
  <c r="E24" i="4"/>
  <c r="D24" i="4"/>
  <c r="C24" i="4"/>
  <c r="B24" i="4"/>
  <c r="E23" i="4"/>
  <c r="D23" i="4"/>
  <c r="C23" i="4"/>
  <c r="B23" i="4"/>
  <c r="E22" i="4"/>
  <c r="D22" i="4"/>
  <c r="C22" i="4"/>
  <c r="B22" i="4"/>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D12" i="4"/>
  <c r="C12" i="4"/>
  <c r="B12" i="4"/>
  <c r="E11" i="4"/>
  <c r="D11" i="4"/>
  <c r="C11" i="4"/>
  <c r="B11" i="4"/>
  <c r="E10" i="4"/>
  <c r="D10" i="4"/>
  <c r="C10" i="4"/>
  <c r="B10" i="4"/>
  <c r="E9" i="4"/>
  <c r="D9" i="4"/>
  <c r="C9" i="4"/>
  <c r="B9" i="4"/>
  <c r="E8" i="4"/>
  <c r="D8" i="4"/>
  <c r="C8" i="4"/>
  <c r="B8" i="4"/>
  <c r="E7" i="4"/>
  <c r="D7" i="4"/>
  <c r="C7" i="4"/>
  <c r="B7" i="4"/>
  <c r="H51" i="9" l="1"/>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8" i="8"/>
  <c r="L23" i="7"/>
  <c r="L24" i="7" s="1"/>
  <c r="J23" i="7"/>
  <c r="J22" i="7"/>
  <c r="J21" i="7"/>
  <c r="J20" i="7"/>
  <c r="I13" i="7"/>
  <c r="K19" i="6"/>
  <c r="L9" i="6"/>
  <c r="M41" i="4"/>
  <c r="M38" i="4"/>
  <c r="M35" i="4"/>
  <c r="M32" i="4"/>
  <c r="M29" i="4"/>
  <c r="M26" i="4"/>
  <c r="M23" i="4"/>
  <c r="M20" i="4"/>
  <c r="M17" i="4"/>
  <c r="M14" i="4"/>
  <c r="L11" i="4"/>
  <c r="L10" i="4"/>
  <c r="K7" i="4"/>
  <c r="J7" i="4"/>
  <c r="F22" i="12"/>
  <c r="G19" i="12" s="1"/>
  <c r="J29" i="12" s="1"/>
  <c r="L18" i="6"/>
  <c r="L11" i="6"/>
  <c r="J8" i="4"/>
  <c r="L12" i="6" l="1"/>
  <c r="L13" i="6"/>
  <c r="L14" i="6"/>
  <c r="L15" i="6"/>
  <c r="L16" i="6"/>
  <c r="L17" i="6"/>
  <c r="L10" i="6"/>
  <c r="J9" i="4"/>
  <c r="J35" i="14" l="1"/>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34" i="14"/>
  <c r="F16" i="13" l="1"/>
  <c r="F17" i="13" s="1"/>
  <c r="D29" i="5" s="1"/>
  <c r="L18" i="12"/>
  <c r="H43" i="12"/>
  <c r="H44" i="12"/>
  <c r="H45" i="12"/>
  <c r="H46" i="12"/>
  <c r="H47" i="12"/>
  <c r="H48" i="12"/>
  <c r="H49" i="12"/>
  <c r="H50" i="12"/>
  <c r="H51" i="12"/>
  <c r="H42" i="12"/>
  <c r="G18" i="12"/>
  <c r="K29" i="12" s="1"/>
  <c r="G20" i="12"/>
  <c r="I29" i="12" s="1"/>
  <c r="G21" i="12"/>
  <c r="H29" i="12" s="1"/>
  <c r="G22" i="12"/>
  <c r="G17" i="12"/>
  <c r="L29" i="12" s="1"/>
  <c r="H7" i="12"/>
  <c r="H8" i="12" s="1"/>
  <c r="F42" i="12" s="1"/>
  <c r="F43" i="12" s="1"/>
  <c r="F44" i="12" s="1"/>
  <c r="F45" i="12" s="1"/>
  <c r="F46" i="12" s="1"/>
  <c r="F47" i="12" s="1"/>
  <c r="F48" i="12" s="1"/>
  <c r="F49" i="12" s="1"/>
  <c r="F50" i="12" s="1"/>
  <c r="F51" i="12" s="1"/>
  <c r="F52" i="12" s="1"/>
  <c r="H33" i="10"/>
  <c r="B33" i="10" s="1"/>
  <c r="H32" i="10"/>
  <c r="B32" i="10" s="1"/>
  <c r="I7" i="9"/>
  <c r="I8" i="9" s="1"/>
  <c r="F17" i="9" s="1"/>
  <c r="I7" i="7"/>
  <c r="I8" i="7" s="1"/>
  <c r="L21" i="7"/>
  <c r="L22" i="7"/>
  <c r="L20" i="7"/>
  <c r="I43" i="7"/>
  <c r="I34" i="7"/>
  <c r="J34" i="7" s="1"/>
  <c r="I35" i="7"/>
  <c r="J35" i="7" s="1"/>
  <c r="I36" i="7"/>
  <c r="J36" i="7" s="1"/>
  <c r="I37" i="7"/>
  <c r="J37" i="7" s="1"/>
  <c r="I38" i="7"/>
  <c r="J38" i="7" s="1"/>
  <c r="I39" i="7"/>
  <c r="J39" i="7"/>
  <c r="I40" i="7"/>
  <c r="J40" i="7" s="1"/>
  <c r="I41" i="7"/>
  <c r="J41" i="7" s="1"/>
  <c r="I42" i="7"/>
  <c r="J42" i="7" s="1"/>
  <c r="I44" i="7"/>
  <c r="I45" i="7"/>
  <c r="I46" i="7"/>
  <c r="I47" i="7"/>
  <c r="I48" i="7"/>
  <c r="I49" i="7"/>
  <c r="I50" i="7"/>
  <c r="I51" i="7"/>
  <c r="I52" i="7"/>
  <c r="I53" i="7"/>
  <c r="I54" i="7"/>
  <c r="I55" i="7"/>
  <c r="I56" i="7"/>
  <c r="I57" i="7"/>
  <c r="I58" i="7"/>
  <c r="I59" i="7"/>
  <c r="I60" i="7"/>
  <c r="I61" i="7"/>
  <c r="I62" i="7"/>
  <c r="I63" i="7"/>
  <c r="I64" i="7"/>
  <c r="I65" i="7"/>
  <c r="I66" i="7"/>
  <c r="I67" i="7"/>
  <c r="I33" i="7"/>
  <c r="J33" i="7"/>
  <c r="H24" i="10"/>
  <c r="H25" i="10"/>
  <c r="H26" i="10"/>
  <c r="H27" i="10"/>
  <c r="H28" i="10"/>
  <c r="H29" i="10"/>
  <c r="H30" i="10"/>
  <c r="H31" i="10"/>
  <c r="H23" i="10"/>
  <c r="L17" i="12" l="1"/>
  <c r="L21" i="12" s="1"/>
  <c r="K37" i="7"/>
  <c r="N42" i="7"/>
  <c r="C42" i="7" s="1"/>
  <c r="G52" i="12"/>
  <c r="H52" i="12" s="1"/>
  <c r="F53" i="12"/>
  <c r="K36" i="7"/>
  <c r="K39" i="7"/>
  <c r="K34" i="7"/>
  <c r="K38" i="7"/>
  <c r="K33" i="7"/>
  <c r="K40" i="7"/>
  <c r="K35" i="7"/>
  <c r="K41" i="7"/>
  <c r="K42" i="7"/>
  <c r="N34" i="7" l="1"/>
  <c r="C34" i="7" s="1"/>
  <c r="N33" i="7"/>
  <c r="C33" i="7" s="1"/>
  <c r="N35" i="7"/>
  <c r="C35" i="7" s="1"/>
  <c r="N41" i="7"/>
  <c r="C41" i="7" s="1"/>
  <c r="N38" i="7"/>
  <c r="C38" i="7" s="1"/>
  <c r="I31" i="12"/>
  <c r="H31" i="12"/>
  <c r="J31" i="12"/>
  <c r="K31" i="12"/>
  <c r="L31" i="12"/>
  <c r="N40" i="7"/>
  <c r="C40" i="7" s="1"/>
  <c r="I34" i="14"/>
  <c r="N39" i="7"/>
  <c r="C39" i="7" s="1"/>
  <c r="N37" i="7"/>
  <c r="C37" i="7" s="1"/>
  <c r="N36" i="7"/>
  <c r="C36" i="7" s="1"/>
  <c r="G53" i="12"/>
  <c r="H53" i="12" s="1"/>
  <c r="F54" i="12"/>
  <c r="H34" i="10"/>
  <c r="B34" i="10" l="1"/>
  <c r="H33" i="12"/>
  <c r="H35" i="14"/>
  <c r="I35" i="14" s="1"/>
  <c r="F55" i="12"/>
  <c r="G54" i="12"/>
  <c r="H54" i="12" s="1"/>
  <c r="H35" i="10"/>
  <c r="B35" i="10" l="1"/>
  <c r="I54" i="12"/>
  <c r="B54" i="12" s="1"/>
  <c r="K34" i="14"/>
  <c r="L34" i="14" s="1"/>
  <c r="N34" i="14" s="1"/>
  <c r="C34" i="14" s="1"/>
  <c r="Q34" i="14"/>
  <c r="O34" i="14"/>
  <c r="H36" i="14"/>
  <c r="I36" i="14" s="1"/>
  <c r="I42" i="12"/>
  <c r="B42" i="12" s="1"/>
  <c r="I47" i="12"/>
  <c r="B47" i="12" s="1"/>
  <c r="I49" i="12"/>
  <c r="B49" i="12" s="1"/>
  <c r="I46" i="12"/>
  <c r="B46" i="12" s="1"/>
  <c r="I48" i="12"/>
  <c r="B48" i="12" s="1"/>
  <c r="I45" i="12"/>
  <c r="B45" i="12" s="1"/>
  <c r="I44" i="12"/>
  <c r="B44" i="12" s="1"/>
  <c r="I51" i="12"/>
  <c r="B51" i="12" s="1"/>
  <c r="I50" i="12"/>
  <c r="B50" i="12" s="1"/>
  <c r="I43" i="12"/>
  <c r="B43" i="12" s="1"/>
  <c r="I52" i="12"/>
  <c r="B52" i="12" s="1"/>
  <c r="I53" i="12"/>
  <c r="B53" i="12" s="1"/>
  <c r="F56" i="12"/>
  <c r="G55" i="12"/>
  <c r="H55" i="12" s="1"/>
  <c r="I55" i="12" s="1"/>
  <c r="B55" i="12" s="1"/>
  <c r="H36" i="10"/>
  <c r="B36" i="10" l="1"/>
  <c r="D34" i="14"/>
  <c r="Q35" i="14"/>
  <c r="O35" i="14"/>
  <c r="K35" i="14"/>
  <c r="L35" i="14" s="1"/>
  <c r="N35" i="14" s="1"/>
  <c r="C35" i="14" s="1"/>
  <c r="H37" i="14"/>
  <c r="I37" i="14" s="1"/>
  <c r="F57" i="12"/>
  <c r="G56" i="12"/>
  <c r="H56" i="12" s="1"/>
  <c r="I56" i="12" s="1"/>
  <c r="B56" i="12" s="1"/>
  <c r="H37" i="10"/>
  <c r="B37" i="10" l="1"/>
  <c r="D35" i="14"/>
  <c r="H38" i="14"/>
  <c r="I38" i="14" s="1"/>
  <c r="O36" i="14"/>
  <c r="Q36" i="14"/>
  <c r="K36" i="14"/>
  <c r="L36" i="14" s="1"/>
  <c r="N36" i="14" s="1"/>
  <c r="C36" i="14" s="1"/>
  <c r="F58" i="12"/>
  <c r="G57" i="12"/>
  <c r="H57" i="12" s="1"/>
  <c r="I57" i="12" s="1"/>
  <c r="B57" i="12" s="1"/>
  <c r="H38" i="10"/>
  <c r="B38" i="10" l="1"/>
  <c r="D36" i="14"/>
  <c r="O37" i="14"/>
  <c r="Q37" i="14"/>
  <c r="K37" i="14"/>
  <c r="L37" i="14" s="1"/>
  <c r="N37" i="14" s="1"/>
  <c r="C37" i="14" s="1"/>
  <c r="H39" i="14"/>
  <c r="I39" i="14" s="1"/>
  <c r="G58" i="12"/>
  <c r="H58" i="12" s="1"/>
  <c r="I58" i="12" s="1"/>
  <c r="B58" i="12" s="1"/>
  <c r="F59" i="12"/>
  <c r="H39" i="10"/>
  <c r="B39" i="10" l="1"/>
  <c r="D37" i="14"/>
  <c r="H40" i="14"/>
  <c r="I40" i="14" s="1"/>
  <c r="O38" i="14"/>
  <c r="Q38" i="14"/>
  <c r="K38" i="14"/>
  <c r="L38" i="14" s="1"/>
  <c r="N38" i="14" s="1"/>
  <c r="C38" i="14" s="1"/>
  <c r="F60" i="12"/>
  <c r="G59" i="12"/>
  <c r="H59" i="12" s="1"/>
  <c r="I59" i="12" s="1"/>
  <c r="B59" i="12" s="1"/>
  <c r="H40" i="10"/>
  <c r="B40" i="10" l="1"/>
  <c r="D38" i="14"/>
  <c r="Q39" i="14"/>
  <c r="O39" i="14"/>
  <c r="K39" i="14"/>
  <c r="L39" i="14" s="1"/>
  <c r="N39" i="14" s="1"/>
  <c r="C39" i="14" s="1"/>
  <c r="H41" i="14"/>
  <c r="I41" i="14" s="1"/>
  <c r="G60" i="12"/>
  <c r="H60" i="12" s="1"/>
  <c r="I60" i="12" s="1"/>
  <c r="B60" i="12" s="1"/>
  <c r="F61" i="12"/>
  <c r="H41" i="10"/>
  <c r="B41" i="10" l="1"/>
  <c r="D39" i="14"/>
  <c r="K40" i="14"/>
  <c r="L40" i="14" s="1"/>
  <c r="N40" i="14" s="1"/>
  <c r="C40" i="14" s="1"/>
  <c r="Q40" i="14"/>
  <c r="O40" i="14"/>
  <c r="D40" i="14" s="1"/>
  <c r="H42" i="14"/>
  <c r="I42" i="14" s="1"/>
  <c r="G61" i="12"/>
  <c r="H61" i="12" s="1"/>
  <c r="I61" i="12" s="1"/>
  <c r="B61" i="12" s="1"/>
  <c r="F62" i="12"/>
  <c r="H42" i="10"/>
  <c r="B42" i="10" l="1"/>
  <c r="Q41" i="14"/>
  <c r="O41" i="14"/>
  <c r="K41" i="14"/>
  <c r="L41" i="14" s="1"/>
  <c r="N41" i="14" s="1"/>
  <c r="C41" i="14" s="1"/>
  <c r="H43" i="14"/>
  <c r="I43" i="14" s="1"/>
  <c r="F63" i="12"/>
  <c r="G62" i="12"/>
  <c r="H62" i="12" s="1"/>
  <c r="I62" i="12" s="1"/>
  <c r="B62" i="12" s="1"/>
  <c r="H43" i="10"/>
  <c r="B43" i="10" l="1"/>
  <c r="D41" i="14"/>
  <c r="Q42" i="14"/>
  <c r="O42" i="14"/>
  <c r="K42" i="14"/>
  <c r="L42" i="14" s="1"/>
  <c r="N42" i="14" s="1"/>
  <c r="C42" i="14" s="1"/>
  <c r="H44" i="14"/>
  <c r="I44" i="14" s="1"/>
  <c r="F64" i="12"/>
  <c r="G63" i="12"/>
  <c r="H63" i="12" s="1"/>
  <c r="I63" i="12" s="1"/>
  <c r="B63" i="12" s="1"/>
  <c r="H44" i="10"/>
  <c r="B44" i="10" l="1"/>
  <c r="D42" i="14"/>
  <c r="O43" i="14"/>
  <c r="Q43" i="14"/>
  <c r="K43" i="14"/>
  <c r="L43" i="14" s="1"/>
  <c r="N43" i="14" s="1"/>
  <c r="C43" i="14" s="1"/>
  <c r="H45" i="14"/>
  <c r="I45" i="14" s="1"/>
  <c r="G64" i="12"/>
  <c r="H64" i="12" s="1"/>
  <c r="I64" i="12" s="1"/>
  <c r="B64" i="12" s="1"/>
  <c r="F65" i="12"/>
  <c r="H45" i="10"/>
  <c r="B45" i="10" l="1"/>
  <c r="D43" i="14"/>
  <c r="O44" i="14"/>
  <c r="Q44" i="14"/>
  <c r="K44" i="14"/>
  <c r="L44" i="14" s="1"/>
  <c r="N44" i="14" s="1"/>
  <c r="C44" i="14" s="1"/>
  <c r="H46" i="14"/>
  <c r="I46" i="14" s="1"/>
  <c r="F66" i="12"/>
  <c r="G65" i="12"/>
  <c r="H65" i="12" s="1"/>
  <c r="I65" i="12" s="1"/>
  <c r="B65" i="12" s="1"/>
  <c r="D44" i="14" l="1"/>
  <c r="H47" i="14"/>
  <c r="I47" i="14" s="1"/>
  <c r="O45" i="14"/>
  <c r="Q45" i="14"/>
  <c r="K45" i="14"/>
  <c r="L45" i="14" s="1"/>
  <c r="N45" i="14" s="1"/>
  <c r="C45" i="14" s="1"/>
  <c r="G66" i="12"/>
  <c r="H66" i="12" s="1"/>
  <c r="I66" i="12" s="1"/>
  <c r="B66" i="12" s="1"/>
  <c r="F67" i="12"/>
  <c r="H46" i="10"/>
  <c r="B46" i="10" l="1"/>
  <c r="D45" i="14"/>
  <c r="H48" i="14"/>
  <c r="I48" i="14" s="1"/>
  <c r="O46" i="14"/>
  <c r="Q46" i="14"/>
  <c r="K46" i="14"/>
  <c r="L46" i="14" s="1"/>
  <c r="N46" i="14" s="1"/>
  <c r="C46" i="14" s="1"/>
  <c r="F68" i="12"/>
  <c r="G67" i="12"/>
  <c r="H67" i="12" s="1"/>
  <c r="I67" i="12" s="1"/>
  <c r="B67" i="12" s="1"/>
  <c r="H47" i="10"/>
  <c r="B47" i="10" l="1"/>
  <c r="D46" i="14"/>
  <c r="H49" i="14"/>
  <c r="I49" i="14" s="1"/>
  <c r="O47" i="14"/>
  <c r="Q47" i="14"/>
  <c r="K47" i="14"/>
  <c r="L47" i="14" s="1"/>
  <c r="N47" i="14" s="1"/>
  <c r="C47" i="14" s="1"/>
  <c r="G68" i="12"/>
  <c r="H68" i="12" s="1"/>
  <c r="I68" i="12" s="1"/>
  <c r="B68" i="12" s="1"/>
  <c r="F69" i="12"/>
  <c r="H48" i="10"/>
  <c r="B48" i="10" l="1"/>
  <c r="D47" i="14"/>
  <c r="H50" i="14"/>
  <c r="I50" i="14" s="1"/>
  <c r="O48" i="14"/>
  <c r="Q48" i="14"/>
  <c r="K48" i="14"/>
  <c r="L48" i="14" s="1"/>
  <c r="N48" i="14" s="1"/>
  <c r="C48" i="14" s="1"/>
  <c r="G69" i="12"/>
  <c r="H69" i="12" s="1"/>
  <c r="I69" i="12" s="1"/>
  <c r="B69" i="12" s="1"/>
  <c r="F70" i="12"/>
  <c r="H49" i="10"/>
  <c r="B49" i="10" l="1"/>
  <c r="D48" i="14"/>
  <c r="H51" i="14"/>
  <c r="I51" i="14" s="1"/>
  <c r="O49" i="14"/>
  <c r="Q49" i="14"/>
  <c r="K49" i="14"/>
  <c r="L49" i="14" s="1"/>
  <c r="N49" i="14" s="1"/>
  <c r="C49" i="14" s="1"/>
  <c r="F71" i="12"/>
  <c r="G70" i="12"/>
  <c r="H70" i="12" s="1"/>
  <c r="I70" i="12" s="1"/>
  <c r="B70" i="12" s="1"/>
  <c r="H50" i="10"/>
  <c r="B50" i="10" l="1"/>
  <c r="D49" i="14"/>
  <c r="H52" i="14"/>
  <c r="I52" i="14" s="1"/>
  <c r="O50" i="14"/>
  <c r="Q50" i="14"/>
  <c r="K50" i="14"/>
  <c r="L50" i="14" s="1"/>
  <c r="N50" i="14" s="1"/>
  <c r="C50" i="14" s="1"/>
  <c r="F72" i="12"/>
  <c r="G71" i="12"/>
  <c r="H71" i="12" s="1"/>
  <c r="I71" i="12" s="1"/>
  <c r="B71" i="12" s="1"/>
  <c r="H51" i="10"/>
  <c r="B51" i="10" l="1"/>
  <c r="D50" i="14"/>
  <c r="O51" i="14"/>
  <c r="Q51" i="14"/>
  <c r="K51" i="14"/>
  <c r="L51" i="14" s="1"/>
  <c r="N51" i="14" s="1"/>
  <c r="C51" i="14" s="1"/>
  <c r="H53" i="14"/>
  <c r="I53" i="14" s="1"/>
  <c r="F73" i="12"/>
  <c r="G72" i="12"/>
  <c r="H72" i="12" s="1"/>
  <c r="I72" i="12" s="1"/>
  <c r="B72" i="12" s="1"/>
  <c r="H52" i="10"/>
  <c r="B52" i="10" l="1"/>
  <c r="D51" i="14"/>
  <c r="H54" i="14"/>
  <c r="I54" i="14" s="1"/>
  <c r="O52" i="14"/>
  <c r="Q52" i="14"/>
  <c r="K52" i="14"/>
  <c r="L52" i="14" s="1"/>
  <c r="N52" i="14" s="1"/>
  <c r="C52" i="14" s="1"/>
  <c r="F74" i="12"/>
  <c r="G73" i="12"/>
  <c r="H73" i="12" s="1"/>
  <c r="I73" i="12" s="1"/>
  <c r="B73" i="12" s="1"/>
  <c r="H53" i="10"/>
  <c r="B53" i="10" l="1"/>
  <c r="D52" i="14"/>
  <c r="H55" i="14"/>
  <c r="I55" i="14" s="1"/>
  <c r="O53" i="14"/>
  <c r="Q53" i="14"/>
  <c r="K53" i="14"/>
  <c r="L53" i="14" s="1"/>
  <c r="N53" i="14" s="1"/>
  <c r="C53" i="14" s="1"/>
  <c r="G74" i="12"/>
  <c r="H74" i="12" s="1"/>
  <c r="I74" i="12" s="1"/>
  <c r="B74" i="12" s="1"/>
  <c r="F75" i="12"/>
  <c r="H54" i="10"/>
  <c r="B54" i="10" l="1"/>
  <c r="D53" i="14"/>
  <c r="H56" i="14"/>
  <c r="I56" i="14" s="1"/>
  <c r="O54" i="14"/>
  <c r="Q54" i="14"/>
  <c r="K54" i="14"/>
  <c r="L54" i="14" s="1"/>
  <c r="N54" i="14" s="1"/>
  <c r="C54" i="14" s="1"/>
  <c r="F76" i="12"/>
  <c r="G75" i="12"/>
  <c r="H75" i="12" s="1"/>
  <c r="I75" i="12" s="1"/>
  <c r="B75" i="12" s="1"/>
  <c r="H55" i="10"/>
  <c r="B55" i="10" l="1"/>
  <c r="D54" i="14"/>
  <c r="H57" i="14"/>
  <c r="I57" i="14" s="1"/>
  <c r="O55" i="14"/>
  <c r="Q55" i="14"/>
  <c r="K55" i="14"/>
  <c r="L55" i="14" s="1"/>
  <c r="N55" i="14" s="1"/>
  <c r="C55" i="14" s="1"/>
  <c r="G76" i="12"/>
  <c r="H76" i="12" s="1"/>
  <c r="I76" i="12" s="1"/>
  <c r="B76" i="12" s="1"/>
  <c r="H56" i="10"/>
  <c r="B56" i="10" s="1"/>
  <c r="D55" i="14" l="1"/>
  <c r="H58" i="14"/>
  <c r="I58" i="14" s="1"/>
  <c r="O56" i="14"/>
  <c r="Q56" i="14"/>
  <c r="K56" i="14"/>
  <c r="L56" i="14" s="1"/>
  <c r="N56" i="14" s="1"/>
  <c r="C56" i="14" s="1"/>
  <c r="H57" i="10"/>
  <c r="B57" i="10" s="1"/>
  <c r="D56" i="14" l="1"/>
  <c r="H59" i="14"/>
  <c r="I59" i="14" s="1"/>
  <c r="O57" i="14"/>
  <c r="Q57" i="14"/>
  <c r="K57" i="14"/>
  <c r="L57" i="14" s="1"/>
  <c r="N57" i="14" s="1"/>
  <c r="C57" i="14" s="1"/>
  <c r="D57" i="14" l="1"/>
  <c r="O58" i="14"/>
  <c r="Q58" i="14"/>
  <c r="K58" i="14"/>
  <c r="L58" i="14" s="1"/>
  <c r="N58" i="14" s="1"/>
  <c r="C58" i="14" s="1"/>
  <c r="H60" i="14"/>
  <c r="I60" i="14" s="1"/>
  <c r="D58" i="14" l="1"/>
  <c r="H61" i="14"/>
  <c r="I61" i="14" s="1"/>
  <c r="O59" i="14"/>
  <c r="Q59" i="14"/>
  <c r="K59" i="14"/>
  <c r="L59" i="14" s="1"/>
  <c r="N59" i="14" s="1"/>
  <c r="C59" i="14" s="1"/>
  <c r="D59" i="14" l="1"/>
  <c r="H62" i="14"/>
  <c r="I62" i="14" s="1"/>
  <c r="O60" i="14"/>
  <c r="Q60" i="14"/>
  <c r="K60" i="14"/>
  <c r="L60" i="14" s="1"/>
  <c r="N60" i="14" s="1"/>
  <c r="C60" i="14" s="1"/>
  <c r="D60" i="14" l="1"/>
  <c r="H63" i="14"/>
  <c r="I63" i="14" s="1"/>
  <c r="O61" i="14"/>
  <c r="Q61" i="14"/>
  <c r="K61" i="14"/>
  <c r="L61" i="14" s="1"/>
  <c r="N61" i="14" s="1"/>
  <c r="C61" i="14" s="1"/>
  <c r="D61" i="14" l="1"/>
  <c r="H64" i="14"/>
  <c r="I64" i="14" s="1"/>
  <c r="O62" i="14"/>
  <c r="Q62" i="14"/>
  <c r="K62" i="14"/>
  <c r="L62" i="14" s="1"/>
  <c r="N62" i="14" s="1"/>
  <c r="C62" i="14" s="1"/>
  <c r="D62" i="14" l="1"/>
  <c r="H65" i="14"/>
  <c r="I65" i="14" s="1"/>
  <c r="O63" i="14"/>
  <c r="Q63" i="14"/>
  <c r="K63" i="14"/>
  <c r="L63" i="14" s="1"/>
  <c r="N63" i="14" s="1"/>
  <c r="C63" i="14" s="1"/>
  <c r="D63" i="14" l="1"/>
  <c r="H66" i="14"/>
  <c r="I66" i="14" s="1"/>
  <c r="O64" i="14"/>
  <c r="Q64" i="14"/>
  <c r="K64" i="14"/>
  <c r="L64" i="14" s="1"/>
  <c r="N64" i="14" s="1"/>
  <c r="C64" i="14" s="1"/>
  <c r="D64" i="14" l="1"/>
  <c r="H67" i="14"/>
  <c r="I67" i="14" s="1"/>
  <c r="O65" i="14"/>
  <c r="Q65" i="14"/>
  <c r="K65" i="14"/>
  <c r="L65" i="14" s="1"/>
  <c r="N65" i="14" s="1"/>
  <c r="C65" i="14" s="1"/>
  <c r="I18" i="9"/>
  <c r="B18" i="9" s="1"/>
  <c r="I19" i="9"/>
  <c r="B19" i="9" s="1"/>
  <c r="I20" i="9"/>
  <c r="B20" i="9" s="1"/>
  <c r="I21" i="9"/>
  <c r="B21" i="9" s="1"/>
  <c r="I22" i="9"/>
  <c r="B22" i="9" s="1"/>
  <c r="I23" i="9"/>
  <c r="B23" i="9" s="1"/>
  <c r="I24" i="9"/>
  <c r="B24" i="9" s="1"/>
  <c r="I25" i="9"/>
  <c r="B25" i="9" s="1"/>
  <c r="I26" i="9"/>
  <c r="B26" i="9" s="1"/>
  <c r="I17" i="9"/>
  <c r="B17" i="9" s="1"/>
  <c r="F8" i="8"/>
  <c r="F9" i="8"/>
  <c r="F10" i="8"/>
  <c r="F11" i="8"/>
  <c r="F12" i="8"/>
  <c r="F13" i="8"/>
  <c r="F14" i="8"/>
  <c r="F15" i="8"/>
  <c r="F16" i="8"/>
  <c r="F7" i="8"/>
  <c r="D65" i="14" l="1"/>
  <c r="H68" i="14"/>
  <c r="I68" i="14" s="1"/>
  <c r="O66" i="14"/>
  <c r="Q66" i="14"/>
  <c r="K66" i="14"/>
  <c r="L66" i="14" s="1"/>
  <c r="N66" i="14" s="1"/>
  <c r="C66" i="14" s="1"/>
  <c r="G33" i="7"/>
  <c r="G34" i="7" s="1"/>
  <c r="G35" i="7" s="1"/>
  <c r="C6" i="4"/>
  <c r="C7" i="5" s="1"/>
  <c r="B6" i="4"/>
  <c r="C6" i="5" s="1"/>
  <c r="E6" i="4"/>
  <c r="D6" i="4"/>
  <c r="C8" i="5" s="1"/>
  <c r="D8" i="6"/>
  <c r="C20" i="5" s="1"/>
  <c r="F18" i="9"/>
  <c r="M34" i="7"/>
  <c r="M33" i="7"/>
  <c r="E8" i="6"/>
  <c r="C21" i="5" s="1"/>
  <c r="B8" i="6"/>
  <c r="C8" i="6"/>
  <c r="D66" i="14" l="1"/>
  <c r="O67" i="14"/>
  <c r="Q67" i="14"/>
  <c r="K67" i="14"/>
  <c r="L67" i="14" s="1"/>
  <c r="N67" i="14" s="1"/>
  <c r="C67" i="14" s="1"/>
  <c r="C9" i="5"/>
  <c r="C23" i="5"/>
  <c r="F19" i="9"/>
  <c r="G36" i="7"/>
  <c r="M36" i="7" s="1"/>
  <c r="M35" i="7"/>
  <c r="D67" i="14" l="1"/>
  <c r="O68" i="14"/>
  <c r="Q68" i="14"/>
  <c r="K68" i="14"/>
  <c r="L68" i="14" s="1"/>
  <c r="N68" i="14" s="1"/>
  <c r="C68" i="14" s="1"/>
  <c r="F20" i="9"/>
  <c r="D68" i="14" l="1"/>
  <c r="F21" i="9"/>
  <c r="H7" i="8"/>
  <c r="B7" i="8" s="1"/>
  <c r="G37" i="7"/>
  <c r="F22" i="9" l="1"/>
  <c r="H8" i="8"/>
  <c r="B8" i="8" s="1"/>
  <c r="M37" i="7"/>
  <c r="G38" i="7"/>
  <c r="F23" i="9" l="1"/>
  <c r="H9" i="8"/>
  <c r="B9" i="8" s="1"/>
  <c r="M38" i="7"/>
  <c r="G39" i="7"/>
  <c r="F24" i="9" l="1"/>
  <c r="H10" i="8"/>
  <c r="B10" i="8" s="1"/>
  <c r="M39" i="7"/>
  <c r="G40" i="7"/>
  <c r="F25" i="9" l="1"/>
  <c r="H11" i="8"/>
  <c r="B11" i="8" s="1"/>
  <c r="G41" i="7"/>
  <c r="M40" i="7"/>
  <c r="B41" i="12" l="1"/>
  <c r="C43" i="5" s="1"/>
  <c r="F26" i="9"/>
  <c r="H12" i="8"/>
  <c r="B12" i="8" s="1"/>
  <c r="M41" i="7"/>
  <c r="G42" i="7"/>
  <c r="B22" i="10" l="1"/>
  <c r="C41" i="5" s="1"/>
  <c r="C44" i="5" s="1"/>
  <c r="F27" i="9"/>
  <c r="H13" i="8"/>
  <c r="B13" i="8" s="1"/>
  <c r="G43" i="7"/>
  <c r="H43" i="7" s="1"/>
  <c r="M42" i="7"/>
  <c r="N43" i="7" l="1"/>
  <c r="C43" i="7" s="1"/>
  <c r="F17" i="8"/>
  <c r="J43" i="7"/>
  <c r="K43" i="7" s="1"/>
  <c r="F28" i="9"/>
  <c r="I28" i="9" s="1"/>
  <c r="B28" i="9" s="1"/>
  <c r="H14" i="8"/>
  <c r="B14" i="8" s="1"/>
  <c r="G44" i="7"/>
  <c r="H44" i="7" s="1"/>
  <c r="N44" i="7" l="1"/>
  <c r="C44" i="7" s="1"/>
  <c r="F18" i="8"/>
  <c r="I27" i="9"/>
  <c r="B27" i="9" s="1"/>
  <c r="J44" i="7"/>
  <c r="K44" i="7" s="1"/>
  <c r="M44" i="7" s="1"/>
  <c r="B44" i="7" s="1"/>
  <c r="M43" i="7"/>
  <c r="B43" i="7" s="1"/>
  <c r="F29" i="9"/>
  <c r="I29" i="9" s="1"/>
  <c r="B29" i="9" s="1"/>
  <c r="H15" i="8"/>
  <c r="B15" i="8" s="1"/>
  <c r="G45" i="7"/>
  <c r="H45" i="7" s="1"/>
  <c r="N45" i="7" l="1"/>
  <c r="C45" i="7" s="1"/>
  <c r="F19" i="8"/>
  <c r="J45" i="7"/>
  <c r="K45" i="7" s="1"/>
  <c r="M45" i="7" s="1"/>
  <c r="B45" i="7" s="1"/>
  <c r="F30" i="9"/>
  <c r="I30" i="9" s="1"/>
  <c r="B30" i="9" s="1"/>
  <c r="H16" i="8"/>
  <c r="B16" i="8" s="1"/>
  <c r="G46" i="7"/>
  <c r="H46" i="7" s="1"/>
  <c r="N46" i="7" l="1"/>
  <c r="C46" i="7" s="1"/>
  <c r="F20" i="8"/>
  <c r="J46" i="7"/>
  <c r="K46" i="7" s="1"/>
  <c r="M46" i="7" s="1"/>
  <c r="B46" i="7" s="1"/>
  <c r="F31" i="9"/>
  <c r="I31" i="9" s="1"/>
  <c r="B31" i="9" s="1"/>
  <c r="H17" i="8"/>
  <c r="B17" i="8" s="1"/>
  <c r="G47" i="7"/>
  <c r="H47" i="7" s="1"/>
  <c r="N47" i="7" l="1"/>
  <c r="C47" i="7" s="1"/>
  <c r="F21" i="8"/>
  <c r="J47" i="7"/>
  <c r="K47" i="7" s="1"/>
  <c r="M47" i="7" s="1"/>
  <c r="B47" i="7" s="1"/>
  <c r="F32" i="9"/>
  <c r="I32" i="9" s="1"/>
  <c r="B32" i="9" s="1"/>
  <c r="H18" i="8"/>
  <c r="B18" i="8" s="1"/>
  <c r="G48" i="7"/>
  <c r="H48" i="7" s="1"/>
  <c r="N48" i="7" l="1"/>
  <c r="C48" i="7" s="1"/>
  <c r="F22" i="8"/>
  <c r="J48" i="7"/>
  <c r="K48" i="7" s="1"/>
  <c r="M48" i="7" s="1"/>
  <c r="B48" i="7" s="1"/>
  <c r="F33" i="9"/>
  <c r="I33" i="9" s="1"/>
  <c r="B33" i="9" s="1"/>
  <c r="H19" i="8"/>
  <c r="B19" i="8" s="1"/>
  <c r="G49" i="7"/>
  <c r="H49" i="7" s="1"/>
  <c r="N49" i="7" l="1"/>
  <c r="C49" i="7" s="1"/>
  <c r="F23" i="8"/>
  <c r="J49" i="7"/>
  <c r="K49" i="7" s="1"/>
  <c r="M49" i="7" s="1"/>
  <c r="B49" i="7" s="1"/>
  <c r="F34" i="9"/>
  <c r="I34" i="9" s="1"/>
  <c r="B34" i="9" s="1"/>
  <c r="H20" i="8"/>
  <c r="B20" i="8" s="1"/>
  <c r="G50" i="7"/>
  <c r="H50" i="7" s="1"/>
  <c r="N50" i="7" l="1"/>
  <c r="C50" i="7" s="1"/>
  <c r="F24" i="8"/>
  <c r="J50" i="7"/>
  <c r="K50" i="7" s="1"/>
  <c r="M50" i="7" s="1"/>
  <c r="B50" i="7" s="1"/>
  <c r="F35" i="9"/>
  <c r="I35" i="9" s="1"/>
  <c r="B35" i="9" s="1"/>
  <c r="H21" i="8"/>
  <c r="B21" i="8" s="1"/>
  <c r="G51" i="7"/>
  <c r="H51" i="7" s="1"/>
  <c r="N51" i="7" l="1"/>
  <c r="C51" i="7" s="1"/>
  <c r="F25" i="8"/>
  <c r="J51" i="7"/>
  <c r="K51" i="7" s="1"/>
  <c r="M51" i="7" s="1"/>
  <c r="B51" i="7" s="1"/>
  <c r="F36" i="9"/>
  <c r="I36" i="9" s="1"/>
  <c r="B36" i="9" s="1"/>
  <c r="H22" i="8"/>
  <c r="B22" i="8" s="1"/>
  <c r="G52" i="7"/>
  <c r="H52" i="7" s="1"/>
  <c r="N52" i="7" l="1"/>
  <c r="C52" i="7" s="1"/>
  <c r="F26" i="8"/>
  <c r="J52" i="7"/>
  <c r="K52" i="7" s="1"/>
  <c r="M52" i="7" s="1"/>
  <c r="B52" i="7" s="1"/>
  <c r="F37" i="9"/>
  <c r="I37" i="9" s="1"/>
  <c r="B37" i="9" s="1"/>
  <c r="H23" i="8"/>
  <c r="B23" i="8" s="1"/>
  <c r="G53" i="7"/>
  <c r="H53" i="7" s="1"/>
  <c r="N53" i="7" l="1"/>
  <c r="C53" i="7" s="1"/>
  <c r="F27" i="8"/>
  <c r="J53" i="7"/>
  <c r="K53" i="7" s="1"/>
  <c r="F38" i="9"/>
  <c r="I38" i="9" s="1"/>
  <c r="B38" i="9" s="1"/>
  <c r="H24" i="8"/>
  <c r="B24" i="8" s="1"/>
  <c r="M53" i="7"/>
  <c r="B53" i="7" s="1"/>
  <c r="G54" i="7"/>
  <c r="H54" i="7" s="1"/>
  <c r="C33" i="14" l="1"/>
  <c r="N54" i="7"/>
  <c r="C54" i="7" s="1"/>
  <c r="F28" i="8"/>
  <c r="J54" i="7"/>
  <c r="K54" i="7" s="1"/>
  <c r="M54" i="7" s="1"/>
  <c r="B54" i="7" s="1"/>
  <c r="F39" i="9"/>
  <c r="I39" i="9" s="1"/>
  <c r="B39" i="9" s="1"/>
  <c r="H25" i="8"/>
  <c r="B25" i="8" s="1"/>
  <c r="G55" i="7"/>
  <c r="H55" i="7" s="1"/>
  <c r="D33" i="14" l="1"/>
  <c r="C33" i="5" s="1"/>
  <c r="C34" i="5" s="1"/>
  <c r="N55" i="7"/>
  <c r="C55" i="7" s="1"/>
  <c r="F29" i="8"/>
  <c r="J55" i="7"/>
  <c r="K55" i="7" s="1"/>
  <c r="F40" i="9"/>
  <c r="H26" i="8"/>
  <c r="B26" i="8" s="1"/>
  <c r="M55" i="7"/>
  <c r="B55" i="7" s="1"/>
  <c r="G56" i="7"/>
  <c r="I40" i="9" l="1"/>
  <c r="B40" i="9" s="1"/>
  <c r="F41" i="9"/>
  <c r="H56" i="7"/>
  <c r="G57" i="7"/>
  <c r="H27" i="8"/>
  <c r="B27" i="8" s="1"/>
  <c r="N56" i="7" l="1"/>
  <c r="C56" i="7" s="1"/>
  <c r="F30" i="8"/>
  <c r="I41" i="9"/>
  <c r="B41" i="9" s="1"/>
  <c r="F42" i="9"/>
  <c r="J56" i="7"/>
  <c r="K56" i="7" s="1"/>
  <c r="M56" i="7" s="1"/>
  <c r="B56" i="7" s="1"/>
  <c r="G58" i="7"/>
  <c r="H57" i="7"/>
  <c r="H28" i="8"/>
  <c r="B28" i="8" s="1"/>
  <c r="N57" i="7" l="1"/>
  <c r="C57" i="7" s="1"/>
  <c r="F31" i="8"/>
  <c r="H31" i="8" s="1"/>
  <c r="B31" i="8" s="1"/>
  <c r="I42" i="9"/>
  <c r="B42" i="9" s="1"/>
  <c r="F43" i="9"/>
  <c r="J57" i="7"/>
  <c r="K57" i="7" s="1"/>
  <c r="M57" i="7" s="1"/>
  <c r="B57" i="7" s="1"/>
  <c r="G59" i="7"/>
  <c r="H58" i="7"/>
  <c r="H29" i="8"/>
  <c r="B29" i="8" s="1"/>
  <c r="N58" i="7" l="1"/>
  <c r="C58" i="7" s="1"/>
  <c r="F32" i="8"/>
  <c r="H32" i="8" s="1"/>
  <c r="B32" i="8" s="1"/>
  <c r="I43" i="9"/>
  <c r="B43" i="9" s="1"/>
  <c r="F44" i="9"/>
  <c r="J58" i="7"/>
  <c r="K58" i="7" s="1"/>
  <c r="M58" i="7" s="1"/>
  <c r="B58" i="7" s="1"/>
  <c r="H59" i="7"/>
  <c r="G60" i="7"/>
  <c r="H30" i="8"/>
  <c r="B30" i="8" s="1"/>
  <c r="N59" i="7" l="1"/>
  <c r="C59" i="7" s="1"/>
  <c r="F33" i="8"/>
  <c r="H33" i="8" s="1"/>
  <c r="B33" i="8" s="1"/>
  <c r="I44" i="9"/>
  <c r="B44" i="9" s="1"/>
  <c r="F45" i="9"/>
  <c r="J59" i="7"/>
  <c r="K59" i="7" s="1"/>
  <c r="M59" i="7" s="1"/>
  <c r="B59" i="7" s="1"/>
  <c r="H60" i="7"/>
  <c r="G61" i="7"/>
  <c r="N60" i="7" l="1"/>
  <c r="C60" i="7" s="1"/>
  <c r="F34" i="8"/>
  <c r="H34" i="8" s="1"/>
  <c r="B34" i="8" s="1"/>
  <c r="I45" i="9"/>
  <c r="B45" i="9" s="1"/>
  <c r="F46" i="9"/>
  <c r="J60" i="7"/>
  <c r="K60" i="7" s="1"/>
  <c r="M60" i="7" s="1"/>
  <c r="B60" i="7" s="1"/>
  <c r="H61" i="7"/>
  <c r="G62" i="7"/>
  <c r="N61" i="7" l="1"/>
  <c r="C61" i="7" s="1"/>
  <c r="F35" i="8"/>
  <c r="H35" i="8" s="1"/>
  <c r="B35" i="8" s="1"/>
  <c r="F47" i="9"/>
  <c r="I46" i="9"/>
  <c r="B46" i="9" s="1"/>
  <c r="J61" i="7"/>
  <c r="K61" i="7" s="1"/>
  <c r="M61" i="7" s="1"/>
  <c r="B61" i="7" s="1"/>
  <c r="G63" i="7"/>
  <c r="H62" i="7"/>
  <c r="N62" i="7" l="1"/>
  <c r="C62" i="7" s="1"/>
  <c r="F36" i="8"/>
  <c r="H36" i="8" s="1"/>
  <c r="B36" i="8" s="1"/>
  <c r="F48" i="9"/>
  <c r="I47" i="9"/>
  <c r="B47" i="9" s="1"/>
  <c r="J62" i="7"/>
  <c r="K62" i="7" s="1"/>
  <c r="M62" i="7" s="1"/>
  <c r="B62" i="7" s="1"/>
  <c r="G64" i="7"/>
  <c r="H63" i="7"/>
  <c r="N63" i="7" l="1"/>
  <c r="C63" i="7" s="1"/>
  <c r="F37" i="8"/>
  <c r="H37" i="8" s="1"/>
  <c r="B37" i="8" s="1"/>
  <c r="F49" i="9"/>
  <c r="I48" i="9"/>
  <c r="B48" i="9" s="1"/>
  <c r="J63" i="7"/>
  <c r="K63" i="7" s="1"/>
  <c r="M63" i="7" s="1"/>
  <c r="B63" i="7" s="1"/>
  <c r="G65" i="7"/>
  <c r="H64" i="7"/>
  <c r="N64" i="7" l="1"/>
  <c r="C64" i="7" s="1"/>
  <c r="F38" i="8"/>
  <c r="H38" i="8" s="1"/>
  <c r="B38" i="8" s="1"/>
  <c r="F50" i="9"/>
  <c r="I49" i="9"/>
  <c r="B49" i="9" s="1"/>
  <c r="J64" i="7"/>
  <c r="K64" i="7" s="1"/>
  <c r="M64" i="7" s="1"/>
  <c r="B64" i="7" s="1"/>
  <c r="H65" i="7"/>
  <c r="G66" i="7"/>
  <c r="N65" i="7" l="1"/>
  <c r="C65" i="7" s="1"/>
  <c r="F39" i="8"/>
  <c r="H39" i="8" s="1"/>
  <c r="B39" i="8" s="1"/>
  <c r="F51" i="9"/>
  <c r="I50" i="9"/>
  <c r="B50" i="9" s="1"/>
  <c r="J65" i="7"/>
  <c r="K65" i="7" s="1"/>
  <c r="M65" i="7" s="1"/>
  <c r="B65" i="7" s="1"/>
  <c r="G67" i="7"/>
  <c r="H66" i="7"/>
  <c r="N66" i="7" l="1"/>
  <c r="C66" i="7" s="1"/>
  <c r="F40" i="8"/>
  <c r="H40" i="8" s="1"/>
  <c r="B40" i="8" s="1"/>
  <c r="I51" i="9"/>
  <c r="B51" i="9" s="1"/>
  <c r="J66" i="7"/>
  <c r="K66" i="7" s="1"/>
  <c r="M66" i="7" s="1"/>
  <c r="B66" i="7" s="1"/>
  <c r="H67" i="7"/>
  <c r="N67" i="7" l="1"/>
  <c r="C67" i="7" s="1"/>
  <c r="F41" i="8"/>
  <c r="H41" i="8" s="1"/>
  <c r="B41" i="8" s="1"/>
  <c r="J67" i="7"/>
  <c r="K67" i="7" s="1"/>
  <c r="M67" i="7" s="1"/>
  <c r="B67" i="7" s="1"/>
  <c r="B6" i="8" l="1"/>
  <c r="C27" i="5" s="1"/>
  <c r="C32" i="7"/>
  <c r="B16" i="9"/>
  <c r="C26" i="5" s="1"/>
  <c r="B32" i="7"/>
  <c r="C30" i="5" l="1"/>
  <c r="C45" i="5" s="1"/>
  <c r="C37" i="5"/>
  <c r="C38" i="5" s="1"/>
  <c r="C48" i="5" l="1"/>
  <c r="C47" i="5"/>
</calcChain>
</file>

<file path=xl/sharedStrings.xml><?xml version="1.0" encoding="utf-8"?>
<sst xmlns="http://schemas.openxmlformats.org/spreadsheetml/2006/main" count="311" uniqueCount="222">
  <si>
    <t>ROW</t>
  </si>
  <si>
    <t>Travel time savings</t>
  </si>
  <si>
    <t>Total</t>
  </si>
  <si>
    <t>Total After Discounting1</t>
  </si>
  <si>
    <t>Year</t>
  </si>
  <si>
    <t>Des/Eng2</t>
  </si>
  <si>
    <t>ROW3</t>
  </si>
  <si>
    <t>Const4</t>
  </si>
  <si>
    <t>Pres/Main5</t>
  </si>
  <si>
    <t>Des/Eng</t>
  </si>
  <si>
    <t>Const</t>
  </si>
  <si>
    <t>Pres/Main</t>
  </si>
  <si>
    <t>Project Costs</t>
  </si>
  <si>
    <t>Totals</t>
  </si>
  <si>
    <t>1 Discount rate:</t>
  </si>
  <si>
    <t>2. Design and Engineering Costs</t>
  </si>
  <si>
    <t>3. Right-of-Way Costs</t>
  </si>
  <si>
    <t>5. Preservation and Maintenance Costs</t>
  </si>
  <si>
    <t>4. Construction (Demolition) Costs</t>
  </si>
  <si>
    <t>Table A-1 Yearly Stream of With Project Costs</t>
  </si>
  <si>
    <t>Benefit-Cost Summary Table</t>
  </si>
  <si>
    <t>Present Value</t>
  </si>
  <si>
    <t>Costs - Proposed Project</t>
  </si>
  <si>
    <t>Design and Engineering</t>
  </si>
  <si>
    <t>ROW Costs</t>
  </si>
  <si>
    <t>Construction</t>
  </si>
  <si>
    <t>Preservation/Maintenance</t>
  </si>
  <si>
    <t>Less Residual Value</t>
  </si>
  <si>
    <t>TOTAL COSTS =</t>
  </si>
  <si>
    <t>Benefits - State of Good Repair</t>
  </si>
  <si>
    <t>Costs of Alternate Baseline Projects</t>
  </si>
  <si>
    <t>SUBTOTAL =</t>
  </si>
  <si>
    <t>Benefits - Economic Competitiveness</t>
  </si>
  <si>
    <t>Reduction in vehicle operating costs</t>
  </si>
  <si>
    <t>Benefits - Safety</t>
  </si>
  <si>
    <t>TOTAL BENEFITS =</t>
  </si>
  <si>
    <t>Net Present Value (NPV)</t>
  </si>
  <si>
    <t>TOTAL BENEFITS - TOTAL COSTS =</t>
  </si>
  <si>
    <t>Construction/Demolition</t>
  </si>
  <si>
    <t>Benefits - Livabilitiy/Quality of Life</t>
  </si>
  <si>
    <t>Table B-1 Yearly Stream of Alternate Project Costs</t>
  </si>
  <si>
    <t>The alternate project would be to maintain the structure for 10 more years, at which time the bridge would be closed due to structural safety issues</t>
  </si>
  <si>
    <t>&lt;&lt;bridge closed</t>
  </si>
  <si>
    <t>Table C-1 Yearly Stream of Emissions Benefits</t>
  </si>
  <si>
    <t>Factored Annual VMT</t>
  </si>
  <si>
    <t>Number of Gallons</t>
  </si>
  <si>
    <t>Discounted Benefit</t>
  </si>
  <si>
    <t>With project VMT reduction</t>
  </si>
  <si>
    <t>veh-miles per PM weekday peak hour</t>
  </si>
  <si>
    <t>2035 Annual VMT Savings</t>
  </si>
  <si>
    <t>Number of workdays in year</t>
  </si>
  <si>
    <t>days</t>
  </si>
  <si>
    <t>Total annual VMT reduction</t>
  </si>
  <si>
    <t>Annual traffic growth rate in Pasco</t>
  </si>
  <si>
    <t>Reduced Operating Costs</t>
  </si>
  <si>
    <t>With project VHT reduction</t>
  </si>
  <si>
    <t>Table E-1 Yearly Stream of Emissions Benefits</t>
  </si>
  <si>
    <t>Table D-1 Yearly Stream of Reduced Operating Costs</t>
  </si>
  <si>
    <t>2035 Annual VHT Savings</t>
  </si>
  <si>
    <t>Traffic Diversion</t>
  </si>
  <si>
    <t>Sources:</t>
  </si>
  <si>
    <t>Project costs provide by City of Pasco (April 2016)</t>
  </si>
  <si>
    <t>If bridge is closed, VMT would increase 820 per hour in 2035 compared to No Action</t>
  </si>
  <si>
    <t>Table F-1 Yearly Stream of Emergency Services Benefits</t>
  </si>
  <si>
    <t>If bridge is closed, an additional fire station would be needed in Downtown to maintain adequate response times</t>
  </si>
  <si>
    <t>Total Benefit</t>
  </si>
  <si>
    <t>Emergency Services</t>
  </si>
  <si>
    <t>Reduced fire/ambulance service costs</t>
  </si>
  <si>
    <t>veh-miles</t>
  </si>
  <si>
    <t>1. Discount rate:</t>
  </si>
  <si>
    <t>Metric tons of CO2 per gallon of gasoline</t>
  </si>
  <si>
    <t>Miles per gallon (all vehicle types)</t>
  </si>
  <si>
    <t>2. VMT Reduction based on 2035 value, adjusted to other years by annual traffic growth rate</t>
  </si>
  <si>
    <t>3. Miles per gallon based on FHWA data from 2011.</t>
  </si>
  <si>
    <t>4. CO2 per gallon based on EPA data from 2015</t>
  </si>
  <si>
    <t>Source: BCA Resource Guide 2016 (FASTLANE), pg 7. https://www.transportation.gov/fastlanegrants/bca-resource-guide (accessed April 1, 2016)</t>
  </si>
  <si>
    <t>CO2 Emissions Benefit</t>
  </si>
  <si>
    <t>grams per mile</t>
  </si>
  <si>
    <t>$/Metric Ton</t>
  </si>
  <si>
    <t>$/mile</t>
  </si>
  <si>
    <t>Voc, NOX, PM Emmissions Benefit</t>
  </si>
  <si>
    <t>Voc, NOX, PM Emmissions Discounted Benefit</t>
  </si>
  <si>
    <t>PM to Daily Conversion Factor</t>
  </si>
  <si>
    <t>(NCHRP 716, TRB, 2012 page C-23)</t>
  </si>
  <si>
    <t>Rate for CO2</t>
  </si>
  <si>
    <t>Rate for other emissions</t>
  </si>
  <si>
    <t xml:space="preserve">2. Operating costs only (gas, maintenance, tires). Does not include ownership costs. </t>
  </si>
  <si>
    <t>Emission reductions (VMT change)</t>
  </si>
  <si>
    <t>If bridge is closed, VHT would increase 24 per hour in 2035 compared to No Action (See Transportation Discipline Report)</t>
  </si>
  <si>
    <t>2. From BCA Resource Guide for local travel all purposes</t>
  </si>
  <si>
    <t>Travel Time Benefit</t>
  </si>
  <si>
    <t>Cost of new station construction</t>
  </si>
  <si>
    <t>Assumed 30% of 2015 Fire/Ambulance annual budget needed for operating new 4th station</t>
  </si>
  <si>
    <t>Countywide collision rate in Franklin County</t>
  </si>
  <si>
    <t>per 100 Million Vehicle Miles Traveled</t>
  </si>
  <si>
    <t>City of Pasco Collisions</t>
  </si>
  <si>
    <t>Fatal</t>
  </si>
  <si>
    <t>Serious Injury</t>
  </si>
  <si>
    <t>Property Damage</t>
  </si>
  <si>
    <t>#</t>
  </si>
  <si>
    <t>%</t>
  </si>
  <si>
    <t>Estimated Accident Reduction</t>
  </si>
  <si>
    <t>Fatality</t>
  </si>
  <si>
    <t>No Injury</t>
  </si>
  <si>
    <t>Possible Injury</t>
  </si>
  <si>
    <t>Non-Incap</t>
  </si>
  <si>
    <t>Incap</t>
  </si>
  <si>
    <t>Total $ for each type of accident</t>
  </si>
  <si>
    <t>Single Vehicle</t>
  </si>
  <si>
    <t>Multiple Vehicle</t>
  </si>
  <si>
    <t>WA State</t>
  </si>
  <si>
    <t>Average vehicles per collision</t>
  </si>
  <si>
    <t>City of Pasco percentages</t>
  </si>
  <si>
    <t>Total $ for each type of accident in Pasco</t>
  </si>
  <si>
    <t>Total $ for each accident in Pasco</t>
  </si>
  <si>
    <t>Crash Reduction Benefit</t>
  </si>
  <si>
    <t>Collision Reduction</t>
  </si>
  <si>
    <t>Reduce risk of collision (VMT change)</t>
  </si>
  <si>
    <t>Benefit/Cost Ratio =</t>
  </si>
  <si>
    <t>A direct job is the job created by the actual government expenditure and the wages are paid for from the funds for the project.</t>
  </si>
  <si>
    <t>An indirect job is the job created by the expenditures the suppliers make to produce the materials used for the project. The cost of this would be included in the cost of the materials.</t>
  </si>
  <si>
    <t>An induced job is the job created elsewhere in the economy as increases in income from the direct government spending lead to additional increases in spending by workers and firms.</t>
  </si>
  <si>
    <t>Source: FHWA 2016 http://www.fhwa.dot.gov/policy/otps/pubs/impacts/ (accessed April 13, 2016)</t>
  </si>
  <si>
    <t>CEA estimated that 64 percent respresent direct and indirect effects while 36 percent of job-years are the induced effects.</t>
  </si>
  <si>
    <t>Council of Economic Advisers (CEA) estimated that every $1 billion in highway investment would support 13,000 job-years</t>
  </si>
  <si>
    <t>Source: BCA Resource Guide 2016 (FASTLANE), pg 19. https://www.transportation.gov/fastlanegrants/bca-resource-guide (accessed April 1, 2016)</t>
  </si>
  <si>
    <t>"While we are interested in the short-term economic impacts of job creation caused by a project, these impacts should not be included in the benefit-cost analysis"</t>
  </si>
  <si>
    <t>***</t>
  </si>
  <si>
    <t>Project Cost</t>
  </si>
  <si>
    <t>Short-term jobs created</t>
  </si>
  <si>
    <t>Short term jobs created</t>
  </si>
  <si>
    <t>Job Creation</t>
  </si>
  <si>
    <t>New short-term jobs</t>
  </si>
  <si>
    <t>jobs</t>
  </si>
  <si>
    <t>&lt;&lt;Note: should be noted in text, but not included in BCA calculations</t>
  </si>
  <si>
    <t>Percent of commute trips from total trips</t>
  </si>
  <si>
    <t>Source: NCHRP 365 Report, TRB 1998, p 29</t>
  </si>
  <si>
    <t>Bike commute trip length</t>
  </si>
  <si>
    <t>miles</t>
  </si>
  <si>
    <t>Walk commute trip length</t>
  </si>
  <si>
    <t>Annual vehicle VMT converted to bike trips</t>
  </si>
  <si>
    <t>Annual vehicle VMT converted to walk trips</t>
  </si>
  <si>
    <t>Table I-1 Yearly Stream of Livability Benefits</t>
  </si>
  <si>
    <t>dollars per day per person</t>
  </si>
  <si>
    <t>Health benefits of active transportation</t>
  </si>
  <si>
    <t>Health Benefits</t>
  </si>
  <si>
    <t>Non-CO2 Benefits</t>
  </si>
  <si>
    <t>Reduced Vehicle Operating Costs Benefits</t>
  </si>
  <si>
    <t>Mode Shift</t>
  </si>
  <si>
    <t>New walk/bike commuters</t>
  </si>
  <si>
    <t xml:space="preserve">When bridge is built, then bicyclist and walk commuters can now cross the barrier at mode split rates similar to Pasco averages (previously virtually no crossings) </t>
  </si>
  <si>
    <t>Percent of commute bike trips in Pasco ZIP code</t>
  </si>
  <si>
    <t>Percent of commute walk trips in Pasco ZIP code</t>
  </si>
  <si>
    <t>Table G-1 Yearly Stream of Crash Reduction Benefits</t>
  </si>
  <si>
    <t>Possible injury</t>
  </si>
  <si>
    <t>Minor injury</t>
  </si>
  <si>
    <t>Source: BCA Resource Guide 2018 (BUILD), pg 15. https://www.transportation.gov/sites/dot.gov/files/docs/mission/office-policy/transportation-policy/284031/benefit-cost-analysis-guidance-2018_0.pdf (accessed July 5, 2018)</t>
  </si>
  <si>
    <t>Source: BCA Resource Guide 2018 (BUILD), Tables A-1, A-2. https://www.transportation.gov/sites/dot.gov/files/docs/mission/office-policy/transportation-policy/284031/benefit-cost-analysis-guidance-2018_0.pdf (accessed July 5, 2018)</t>
  </si>
  <si>
    <t>Source: EPA 2017. https://www.epa.gov/energy/ghg-equivalencies-calculator-calculations-and-references (accessed July 5, 2018)</t>
  </si>
  <si>
    <t>Source: FHWA 2016 Highway Statistics. http://www.fhwa.dot.gov/policyinformation/statistics/2016/vm1.cfm (accessed July 5, 2018)</t>
  </si>
  <si>
    <t>Source: BCA Resource Guide 2018 (BUILD), Table A-6. https://www.transportation.gov/sites/dot.gov/files/docs/mission/office-policy/transportation-policy/284031/benefit-cost-analysis-guidance-2018_0.pdf (accessed July 5, 2018)</t>
  </si>
  <si>
    <t>3. Miles per gallon based on FHWA data from 2016.</t>
  </si>
  <si>
    <t>4. CO2 per gallon based on EPA data from 2017</t>
  </si>
  <si>
    <t>Source: AAA 2017, https://exchange.aaa.com/wp-content/uploads/2017/08/17-0013_Your-Driving-Costs-Brochure-2017-FNL-CX-1.pdf (Accessed July 5, 2018)</t>
  </si>
  <si>
    <t>Source: BCA Resource Guide 2018 (BUILD), Table A-3. https://www.transportation.gov/sites/dot.gov/files/docs/mission/office-policy/transportation-policy/284031/benefit-cost-analysis-guidance-2018_0.pdf (accessed July 5, 2018)</t>
  </si>
  <si>
    <t>https://www.pasco-wa.gov/DocumentCenter/View/59605/2018-City-of-Pasco-Adopted-Budget (Accessed July 5, 2018)</t>
  </si>
  <si>
    <t>5. Social Cost of Carbon from BCA Resource Guide (FASTLANE), Accessed April 2016</t>
  </si>
  <si>
    <t>2018 Dollars</t>
  </si>
  <si>
    <t>5. Social Cost of Carbon from 2016 BCA Resource Guide (FASTLANE), Accessed April 2016</t>
  </si>
  <si>
    <t>(1) Source: EPA Emissions Facts 2008. https://www3.epa.gov/otaq/consumer/420f08024.pdf (accessed April 13, 2016)</t>
  </si>
  <si>
    <t>(2) Source: Update of Methane and Nitrous Oxide Emission Factors for On-Highway Vehicles, 2004. https://nepis.epa.gov/Exe/ZyPURL.cgi?Dockey=P10005H1.TXT (accessed July 10, 2018)</t>
  </si>
  <si>
    <t>Fire employees</t>
  </si>
  <si>
    <t>Fire employees (avg)</t>
  </si>
  <si>
    <t>Ambulance employees (avg)</t>
  </si>
  <si>
    <t>Fire/Ambulance Expenses in 2016 (3 stations)</t>
  </si>
  <si>
    <t xml:space="preserve">Ambulance employees </t>
  </si>
  <si>
    <t>Cost</t>
  </si>
  <si>
    <t>Source: City of Pasco, 2016, 2017</t>
  </si>
  <si>
    <t>https://egov-pasco.com/weblink/0/doc/769076/Page1.aspx (Accessed July 10, 2018)</t>
  </si>
  <si>
    <t>Source: Tri-City Area Journal of Businesses, July 2016. https://www.tricitiesbusinessnews.com/2016/07/kennewicks-newest-fire-station-no-65-ready-serve-residents/ (Accessed July 10, 2018)</t>
  </si>
  <si>
    <t>Cost increased by 10% to account for year-on-year increases due to labor shortages and tarriffs, 2018, plus $500,000 for land</t>
  </si>
  <si>
    <t>trips/day</t>
  </si>
  <si>
    <t>New station annual cost (2018 dollars)</t>
  </si>
  <si>
    <t>2. Costs of operations and construction increased by a conservative 3%/year from 2018</t>
  </si>
  <si>
    <t>3. Capped at 15% growth over time to account for a maximum delay before travel patterns shift</t>
  </si>
  <si>
    <t>2035 PM Peak Hour volumes on Bridge</t>
  </si>
  <si>
    <t>6. Residual Value (Based on 50-year design life over 30-year analysis timeframe)</t>
  </si>
  <si>
    <t>Residual</t>
  </si>
  <si>
    <t>Disbenefits - Proposed Project</t>
  </si>
  <si>
    <t>Capital Costs Only</t>
  </si>
  <si>
    <t>Residual Value</t>
  </si>
  <si>
    <t>Non-Capital Items</t>
  </si>
  <si>
    <t>2035 daily commute trips</t>
  </si>
  <si>
    <t>2035 daily commute bike trips (rounded)</t>
  </si>
  <si>
    <t>2035 daily commute walk trips (rounded)</t>
  </si>
  <si>
    <r>
      <t>Total After Discounting</t>
    </r>
    <r>
      <rPr>
        <b/>
        <vertAlign val="superscript"/>
        <sz val="11"/>
        <rFont val="Calibri"/>
        <family val="2"/>
        <scheme val="minor"/>
      </rPr>
      <t>1</t>
    </r>
  </si>
  <si>
    <r>
      <t>Des/Eng</t>
    </r>
    <r>
      <rPr>
        <b/>
        <vertAlign val="superscript"/>
        <sz val="11"/>
        <rFont val="Calibri"/>
        <family val="2"/>
        <scheme val="minor"/>
      </rPr>
      <t>2</t>
    </r>
  </si>
  <si>
    <r>
      <t>ROW</t>
    </r>
    <r>
      <rPr>
        <b/>
        <vertAlign val="superscript"/>
        <sz val="11"/>
        <rFont val="Calibri"/>
        <family val="2"/>
        <scheme val="minor"/>
      </rPr>
      <t>3</t>
    </r>
  </si>
  <si>
    <r>
      <t>Const</t>
    </r>
    <r>
      <rPr>
        <b/>
        <vertAlign val="superscript"/>
        <sz val="11"/>
        <rFont val="Calibri"/>
        <family val="2"/>
        <scheme val="minor"/>
      </rPr>
      <t>4</t>
    </r>
  </si>
  <si>
    <r>
      <t>Pres/Main</t>
    </r>
    <r>
      <rPr>
        <b/>
        <vertAlign val="superscript"/>
        <sz val="11"/>
        <rFont val="Calibri"/>
        <family val="2"/>
        <scheme val="minor"/>
      </rPr>
      <t>5</t>
    </r>
  </si>
  <si>
    <r>
      <t>Residual</t>
    </r>
    <r>
      <rPr>
        <b/>
        <vertAlign val="superscript"/>
        <sz val="11"/>
        <rFont val="Calibri"/>
        <family val="2"/>
        <scheme val="minor"/>
      </rPr>
      <t>5</t>
    </r>
  </si>
  <si>
    <r>
      <t xml:space="preserve">Source: </t>
    </r>
    <r>
      <rPr>
        <i/>
        <sz val="11"/>
        <rFont val="Calibri"/>
        <family val="2"/>
        <scheme val="minor"/>
      </rPr>
      <t>Lewis Street Overpass Project Transportation Discipline Report</t>
    </r>
    <r>
      <rPr>
        <sz val="11"/>
        <rFont val="Calibri"/>
        <family val="2"/>
        <scheme val="minor"/>
      </rPr>
      <t xml:space="preserve"> (CH2M Hill, Dec 2011)</t>
    </r>
  </si>
  <si>
    <r>
      <t xml:space="preserve">Source: </t>
    </r>
    <r>
      <rPr>
        <i/>
        <sz val="11"/>
        <rFont val="Calibri"/>
        <family val="2"/>
        <scheme val="minor"/>
      </rPr>
      <t>Lewis Street Overpass - Traffic Analysis</t>
    </r>
    <r>
      <rPr>
        <sz val="11"/>
        <rFont val="Calibri"/>
        <family val="2"/>
        <scheme val="minor"/>
      </rPr>
      <t xml:space="preserve"> (City of Pasco, June 2018)</t>
    </r>
  </si>
  <si>
    <r>
      <t xml:space="preserve">Volatile Organic Compounds (VOCs) </t>
    </r>
    <r>
      <rPr>
        <vertAlign val="superscript"/>
        <sz val="11"/>
        <rFont val="Calibri"/>
        <family val="2"/>
        <scheme val="minor"/>
      </rPr>
      <t>(1)</t>
    </r>
  </si>
  <si>
    <r>
      <t xml:space="preserve">Nitrogen Oxides (Nox) </t>
    </r>
    <r>
      <rPr>
        <vertAlign val="superscript"/>
        <sz val="11"/>
        <rFont val="Calibri"/>
        <family val="2"/>
        <scheme val="minor"/>
      </rPr>
      <t>(1)</t>
    </r>
  </si>
  <si>
    <r>
      <t xml:space="preserve">Particulate matter (PM) </t>
    </r>
    <r>
      <rPr>
        <vertAlign val="superscript"/>
        <sz val="11"/>
        <rFont val="Calibri"/>
        <family val="2"/>
        <scheme val="minor"/>
      </rPr>
      <t>(1)</t>
    </r>
  </si>
  <si>
    <r>
      <t xml:space="preserve">Sulfur Dioxide (Sox) </t>
    </r>
    <r>
      <rPr>
        <vertAlign val="superscript"/>
        <sz val="11"/>
        <rFont val="Calibri"/>
        <family val="2"/>
        <scheme val="minor"/>
      </rPr>
      <t>(2)</t>
    </r>
  </si>
  <si>
    <r>
      <t>CO2 Discounted Benefit</t>
    </r>
    <r>
      <rPr>
        <b/>
        <vertAlign val="superscript"/>
        <sz val="11"/>
        <rFont val="Calibri"/>
        <family val="2"/>
        <scheme val="minor"/>
      </rPr>
      <t>1</t>
    </r>
  </si>
  <si>
    <r>
      <t>Factored Annual VMT by Year</t>
    </r>
    <r>
      <rPr>
        <b/>
        <vertAlign val="superscript"/>
        <sz val="11"/>
        <rFont val="Calibri"/>
        <family val="2"/>
        <scheme val="minor"/>
      </rPr>
      <t>2</t>
    </r>
  </si>
  <si>
    <r>
      <t>Miles per Gallon</t>
    </r>
    <r>
      <rPr>
        <b/>
        <vertAlign val="superscript"/>
        <sz val="11"/>
        <rFont val="Calibri"/>
        <family val="2"/>
        <scheme val="minor"/>
      </rPr>
      <t>3</t>
    </r>
  </si>
  <si>
    <r>
      <t>Metric Tons of CO2</t>
    </r>
    <r>
      <rPr>
        <b/>
        <vertAlign val="superscript"/>
        <sz val="11"/>
        <rFont val="Calibri"/>
        <family val="2"/>
        <scheme val="minor"/>
      </rPr>
      <t>4</t>
    </r>
  </si>
  <si>
    <r>
      <t>Annual Cost of Carbon per Metric Ton</t>
    </r>
    <r>
      <rPr>
        <b/>
        <vertAlign val="superscript"/>
        <sz val="11"/>
        <rFont val="Calibri"/>
        <family val="2"/>
        <scheme val="minor"/>
      </rPr>
      <t>5</t>
    </r>
  </si>
  <si>
    <r>
      <t>Discounted Benefit</t>
    </r>
    <r>
      <rPr>
        <b/>
        <vertAlign val="superscript"/>
        <sz val="11"/>
        <rFont val="Calibri"/>
        <family val="2"/>
        <scheme val="minor"/>
      </rPr>
      <t>1</t>
    </r>
  </si>
  <si>
    <r>
      <t>Cost per Mile (Dollars)</t>
    </r>
    <r>
      <rPr>
        <b/>
        <vertAlign val="superscript"/>
        <sz val="11"/>
        <rFont val="Calibri"/>
        <family val="2"/>
        <scheme val="minor"/>
      </rPr>
      <t>2</t>
    </r>
  </si>
  <si>
    <r>
      <t>Factored Annual VHT</t>
    </r>
    <r>
      <rPr>
        <b/>
        <vertAlign val="superscript"/>
        <sz val="11"/>
        <rFont val="Calibri"/>
        <family val="2"/>
        <scheme val="minor"/>
      </rPr>
      <t>3</t>
    </r>
  </si>
  <si>
    <r>
      <t>Value of Time</t>
    </r>
    <r>
      <rPr>
        <b/>
        <vertAlign val="superscript"/>
        <sz val="11"/>
        <rFont val="Calibri"/>
        <family val="2"/>
        <scheme val="minor"/>
      </rPr>
      <t>2</t>
    </r>
  </si>
  <si>
    <r>
      <t>New Station Annual Costs</t>
    </r>
    <r>
      <rPr>
        <b/>
        <vertAlign val="superscript"/>
        <sz val="11"/>
        <rFont val="Calibri"/>
        <family val="2"/>
        <scheme val="minor"/>
      </rPr>
      <t>2</t>
    </r>
  </si>
  <si>
    <r>
      <t>New Station Construction</t>
    </r>
    <r>
      <rPr>
        <b/>
        <vertAlign val="superscript"/>
        <sz val="11"/>
        <rFont val="Calibri"/>
        <family val="2"/>
        <scheme val="minor"/>
      </rPr>
      <t>2</t>
    </r>
  </si>
  <si>
    <r>
      <t xml:space="preserve">Source: </t>
    </r>
    <r>
      <rPr>
        <i/>
        <sz val="11"/>
        <rFont val="Calibri"/>
        <family val="2"/>
        <scheme val="minor"/>
      </rPr>
      <t>2015 Washington State Annual Collision Summary</t>
    </r>
    <r>
      <rPr>
        <sz val="11"/>
        <rFont val="Calibri"/>
        <family val="2"/>
        <scheme val="minor"/>
      </rPr>
      <t>, WSDOT 2016</t>
    </r>
  </si>
  <si>
    <r>
      <t xml:space="preserve">Source: </t>
    </r>
    <r>
      <rPr>
        <i/>
        <sz val="11"/>
        <rFont val="Calibri"/>
        <family val="2"/>
        <scheme val="minor"/>
      </rPr>
      <t>American Community Survey 5-year data sets</t>
    </r>
    <r>
      <rPr>
        <sz val="11"/>
        <rFont val="Calibri"/>
        <family val="2"/>
        <scheme val="minor"/>
      </rPr>
      <t>, US Census, 2014</t>
    </r>
  </si>
  <si>
    <r>
      <t xml:space="preserve">Source: </t>
    </r>
    <r>
      <rPr>
        <i/>
        <sz val="11"/>
        <rFont val="Calibri"/>
        <family val="2"/>
        <scheme val="minor"/>
      </rPr>
      <t>NCHRP Report 552 Guidelines for Analysis of Investments in Bicycle Facilities</t>
    </r>
    <r>
      <rPr>
        <sz val="11"/>
        <rFont val="Calibri"/>
        <family val="2"/>
        <scheme val="minor"/>
      </rPr>
      <t>, TRB, 2006, Appendix G</t>
    </r>
  </si>
  <si>
    <t>Benefits - Environmental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</si>
</sst>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
    <numFmt numFmtId="166" formatCode="0.0%"/>
    <numFmt numFmtId="167" formatCode="_(&quot;$&quot;* #,##0_);_(&quot;$&quot;* \(#,##0\);_(&quot;$&quot;* &quot;-&quot;?_);_(@_)"/>
    <numFmt numFmtId="168" formatCode="0.000"/>
    <numFmt numFmtId="169" formatCode="0.0"/>
  </numFmts>
  <fonts count="15"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u/>
      <sz val="11"/>
      <color theme="10"/>
      <name val="Calibri"/>
      <family val="2"/>
      <scheme val="minor"/>
    </font>
    <font>
      <sz val="11"/>
      <name val="Calibri"/>
      <family val="2"/>
      <scheme val="minor"/>
    </font>
    <font>
      <sz val="11"/>
      <color theme="4"/>
      <name val="Calibri"/>
      <family val="2"/>
      <scheme val="minor"/>
    </font>
    <font>
      <b/>
      <sz val="12"/>
      <name val="Calibri"/>
      <family val="2"/>
      <scheme val="minor"/>
    </font>
    <font>
      <b/>
      <sz val="11"/>
      <name val="Calibri"/>
      <family val="2"/>
      <scheme val="minor"/>
    </font>
    <font>
      <b/>
      <vertAlign val="superscript"/>
      <sz val="11"/>
      <name val="Calibri"/>
      <family val="2"/>
      <scheme val="minor"/>
    </font>
    <font>
      <i/>
      <sz val="11"/>
      <name val="Calibri"/>
      <family val="2"/>
      <scheme val="minor"/>
    </font>
    <font>
      <vertAlign val="superscript"/>
      <sz val="11"/>
      <name val="Calibri"/>
      <family val="2"/>
      <scheme val="minor"/>
    </font>
    <font>
      <u/>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7030A0"/>
        <bgColor indexed="64"/>
      </patternFill>
    </fill>
    <fill>
      <patternFill patternType="solid">
        <fgColor rgb="FFFFFF00"/>
        <bgColor indexed="64"/>
      </patternFill>
    </fill>
    <fill>
      <patternFill patternType="solid">
        <fgColor theme="5" tint="0.79998168889431442"/>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36">
    <xf numFmtId="0" fontId="0" fillId="0" borderId="0" xfId="0"/>
    <xf numFmtId="164" fontId="0" fillId="0" borderId="0" xfId="1" applyNumberFormat="1" applyFont="1"/>
    <xf numFmtId="164" fontId="0" fillId="0" borderId="0" xfId="0" applyNumberFormat="1"/>
    <xf numFmtId="0" fontId="0" fillId="0" borderId="0" xfId="0" applyFill="1"/>
    <xf numFmtId="3" fontId="0" fillId="0" borderId="0" xfId="0" applyNumberFormat="1"/>
    <xf numFmtId="0" fontId="0" fillId="0" borderId="1" xfId="0" applyBorder="1"/>
    <xf numFmtId="0" fontId="4" fillId="0" borderId="0" xfId="0" applyFont="1"/>
    <xf numFmtId="0" fontId="5" fillId="0" borderId="1" xfId="0" applyFont="1" applyBorder="1"/>
    <xf numFmtId="0" fontId="0" fillId="0" borderId="1" xfId="0" applyBorder="1" applyAlignment="1">
      <alignment horizontal="center" wrapText="1"/>
    </xf>
    <xf numFmtId="0" fontId="5" fillId="6" borderId="4" xfId="0" applyFont="1" applyFill="1" applyBorder="1"/>
    <xf numFmtId="0" fontId="0" fillId="6" borderId="4" xfId="0" applyFill="1" applyBorder="1" applyAlignment="1">
      <alignment horizontal="center" wrapText="1"/>
    </xf>
    <xf numFmtId="0" fontId="0" fillId="0" borderId="0" xfId="0" applyBorder="1"/>
    <xf numFmtId="0" fontId="0" fillId="0" borderId="5" xfId="0" applyFont="1" applyBorder="1"/>
    <xf numFmtId="0" fontId="3" fillId="0" borderId="1" xfId="0" applyFont="1" applyFill="1" applyBorder="1" applyAlignment="1">
      <alignment horizontal="right"/>
    </xf>
    <xf numFmtId="164" fontId="0" fillId="0" borderId="1" xfId="0" applyNumberFormat="1" applyFill="1" applyBorder="1"/>
    <xf numFmtId="0" fontId="2" fillId="0" borderId="0" xfId="0" applyFont="1"/>
    <xf numFmtId="0" fontId="0" fillId="0" borderId="0" xfId="0" applyFont="1" applyFill="1" applyBorder="1" applyAlignment="1">
      <alignment horizontal="right"/>
    </xf>
    <xf numFmtId="0" fontId="2" fillId="0" borderId="0" xfId="0" applyFont="1" applyFill="1" applyBorder="1"/>
    <xf numFmtId="0" fontId="0" fillId="0" borderId="5" xfId="0" applyBorder="1"/>
    <xf numFmtId="0" fontId="0" fillId="0" borderId="5" xfId="0" applyFont="1" applyFill="1" applyBorder="1"/>
    <xf numFmtId="164" fontId="0" fillId="0" borderId="5" xfId="1" applyNumberFormat="1" applyFont="1" applyBorder="1"/>
    <xf numFmtId="164" fontId="0" fillId="0" borderId="0" xfId="1" applyNumberFormat="1" applyFont="1" applyBorder="1"/>
    <xf numFmtId="0" fontId="0" fillId="0" borderId="6" xfId="0" applyBorder="1"/>
    <xf numFmtId="0" fontId="0" fillId="0" borderId="6" xfId="0" applyFont="1" applyFill="1" applyBorder="1" applyAlignment="1">
      <alignment horizontal="right"/>
    </xf>
    <xf numFmtId="164" fontId="0" fillId="0" borderId="6" xfId="0" applyNumberFormat="1" applyBorder="1"/>
    <xf numFmtId="164" fontId="0" fillId="0" borderId="1" xfId="0" applyNumberFormat="1" applyBorder="1"/>
    <xf numFmtId="0" fontId="5" fillId="0" borderId="0" xfId="0" applyFont="1"/>
    <xf numFmtId="0" fontId="0" fillId="0" borderId="1" xfId="0" applyBorder="1" applyAlignment="1">
      <alignment horizontal="right"/>
    </xf>
    <xf numFmtId="164" fontId="0" fillId="5" borderId="1" xfId="0" applyNumberFormat="1" applyFill="1" applyBorder="1"/>
    <xf numFmtId="0" fontId="3" fillId="0" borderId="0" xfId="0" applyFont="1" applyFill="1" applyBorder="1" applyAlignment="1">
      <alignment horizontal="right"/>
    </xf>
    <xf numFmtId="164" fontId="0" fillId="0" borderId="0" xfId="0" applyNumberFormat="1" applyFill="1" applyBorder="1"/>
    <xf numFmtId="0" fontId="0" fillId="0" borderId="6" xfId="0" applyFill="1" applyBorder="1"/>
    <xf numFmtId="0" fontId="5" fillId="2" borderId="4" xfId="0" applyFont="1" applyFill="1" applyBorder="1"/>
    <xf numFmtId="0" fontId="0" fillId="2" borderId="4" xfId="0" applyFill="1" applyBorder="1"/>
    <xf numFmtId="1" fontId="0" fillId="0" borderId="0" xfId="0" applyNumberFormat="1"/>
    <xf numFmtId="0" fontId="0" fillId="0" borderId="0" xfId="0" applyAlignment="1">
      <alignment horizontal="right"/>
    </xf>
    <xf numFmtId="0" fontId="8" fillId="0" borderId="0" xfId="0" applyFont="1"/>
    <xf numFmtId="3" fontId="7" fillId="0" borderId="0" xfId="0" applyNumberFormat="1" applyFont="1"/>
    <xf numFmtId="3" fontId="7" fillId="0" borderId="1" xfId="0" applyNumberFormat="1" applyFont="1" applyBorder="1"/>
    <xf numFmtId="0" fontId="7" fillId="0" borderId="0" xfId="0" applyFont="1"/>
    <xf numFmtId="4" fontId="7" fillId="0" borderId="0" xfId="0" applyNumberFormat="1" applyFont="1" applyFill="1"/>
    <xf numFmtId="0" fontId="0" fillId="0" borderId="0" xfId="0"/>
    <xf numFmtId="164" fontId="0" fillId="0" borderId="0" xfId="1" applyNumberFormat="1" applyFont="1"/>
    <xf numFmtId="164" fontId="0" fillId="0" borderId="0" xfId="0" applyNumberFormat="1"/>
    <xf numFmtId="0" fontId="0" fillId="0" borderId="0" xfId="0" applyBorder="1"/>
    <xf numFmtId="0" fontId="0" fillId="0" borderId="5" xfId="0" applyFont="1" applyBorder="1"/>
    <xf numFmtId="0" fontId="2" fillId="0" borderId="0" xfId="0" applyFont="1"/>
    <xf numFmtId="0" fontId="0" fillId="0" borderId="0" xfId="0" applyFont="1" applyFill="1" applyBorder="1" applyAlignment="1">
      <alignment horizontal="right"/>
    </xf>
    <xf numFmtId="0" fontId="0" fillId="0" borderId="5" xfId="0" applyBorder="1"/>
    <xf numFmtId="164" fontId="0" fillId="0" borderId="5" xfId="1" applyNumberFormat="1" applyFont="1" applyBorder="1"/>
    <xf numFmtId="0" fontId="5" fillId="2" borderId="4" xfId="0" applyFont="1" applyFill="1" applyBorder="1"/>
    <xf numFmtId="0" fontId="0" fillId="2" borderId="4" xfId="0" applyFill="1" applyBorder="1"/>
    <xf numFmtId="169" fontId="7" fillId="0" borderId="0" xfId="0" applyNumberFormat="1" applyFont="1"/>
    <xf numFmtId="0" fontId="7" fillId="0" borderId="0" xfId="0" applyFont="1" applyFill="1"/>
    <xf numFmtId="3" fontId="7" fillId="0" borderId="0" xfId="0" applyNumberFormat="1" applyFont="1" applyBorder="1"/>
    <xf numFmtId="0" fontId="7" fillId="0" borderId="1" xfId="0" applyFont="1" applyBorder="1" applyAlignment="1">
      <alignment horizontal="center"/>
    </xf>
    <xf numFmtId="2" fontId="3" fillId="5" borderId="0" xfId="0" applyNumberFormat="1" applyFont="1" applyFill="1"/>
    <xf numFmtId="0" fontId="9" fillId="3" borderId="1" xfId="0" applyFont="1" applyFill="1" applyBorder="1"/>
    <xf numFmtId="0" fontId="7" fillId="3" borderId="1" xfId="0" applyFont="1" applyFill="1" applyBorder="1"/>
    <xf numFmtId="0" fontId="7" fillId="4" borderId="1" xfId="0" applyFont="1" applyFill="1" applyBorder="1"/>
    <xf numFmtId="0" fontId="7" fillId="3" borderId="0" xfId="0" applyFont="1" applyFill="1" applyBorder="1"/>
    <xf numFmtId="0" fontId="10" fillId="0" borderId="2" xfId="0" applyFont="1" applyBorder="1"/>
    <xf numFmtId="0" fontId="10" fillId="0" borderId="0" xfId="0" applyFont="1" applyBorder="1" applyAlignment="1">
      <alignment horizontal="center"/>
    </xf>
    <xf numFmtId="0" fontId="10" fillId="4" borderId="0" xfId="0" applyFont="1" applyFill="1" applyBorder="1" applyAlignment="1">
      <alignment horizontal="center"/>
    </xf>
    <xf numFmtId="0" fontId="10" fillId="0" borderId="0" xfId="0" applyFont="1"/>
    <xf numFmtId="0" fontId="10" fillId="0" borderId="1" xfId="0" applyFont="1" applyBorder="1" applyAlignment="1">
      <alignment horizontal="center"/>
    </xf>
    <xf numFmtId="0" fontId="10" fillId="0" borderId="1" xfId="0" applyFont="1" applyFill="1" applyBorder="1" applyAlignment="1">
      <alignment horizontal="center"/>
    </xf>
    <xf numFmtId="0" fontId="10" fillId="4" borderId="1" xfId="0" applyFont="1" applyFill="1" applyBorder="1" applyAlignment="1">
      <alignment horizontal="center"/>
    </xf>
    <xf numFmtId="0" fontId="10" fillId="0" borderId="1" xfId="0" applyFont="1" applyBorder="1"/>
    <xf numFmtId="3" fontId="10" fillId="0" borderId="1" xfId="0" applyNumberFormat="1" applyFont="1" applyBorder="1" applyAlignment="1">
      <alignment horizontal="center"/>
    </xf>
    <xf numFmtId="3" fontId="10" fillId="0" borderId="1"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3" xfId="0" applyFont="1" applyBorder="1" applyAlignment="1">
      <alignment horizontal="center"/>
    </xf>
    <xf numFmtId="164" fontId="10" fillId="0" borderId="3" xfId="0" applyNumberFormat="1" applyFont="1" applyBorder="1" applyAlignment="1">
      <alignment horizontal="center"/>
    </xf>
    <xf numFmtId="0" fontId="10" fillId="0" borderId="3" xfId="0" applyFont="1" applyFill="1" applyBorder="1" applyAlignment="1">
      <alignment horizontal="center"/>
    </xf>
    <xf numFmtId="0" fontId="10" fillId="4" borderId="3" xfId="0" applyFont="1" applyFill="1" applyBorder="1" applyAlignment="1">
      <alignment horizontal="center"/>
    </xf>
    <xf numFmtId="0" fontId="10" fillId="0" borderId="3" xfId="0" applyFont="1" applyBorder="1"/>
    <xf numFmtId="3" fontId="10" fillId="0" borderId="3" xfId="0" applyNumberFormat="1" applyFont="1" applyBorder="1" applyAlignment="1">
      <alignment horizontal="center"/>
    </xf>
    <xf numFmtId="3" fontId="10" fillId="0" borderId="3" xfId="0" applyNumberFormat="1" applyFont="1" applyFill="1" applyBorder="1" applyAlignment="1">
      <alignment horizontal="center"/>
    </xf>
    <xf numFmtId="164" fontId="7" fillId="0" borderId="0" xfId="1" applyNumberFormat="1" applyFont="1"/>
    <xf numFmtId="0" fontId="7" fillId="4" borderId="0" xfId="0" applyFont="1" applyFill="1"/>
    <xf numFmtId="0" fontId="7" fillId="0" borderId="0" xfId="0" applyFont="1" applyBorder="1"/>
    <xf numFmtId="0" fontId="7" fillId="0" borderId="1" xfId="0" applyFont="1" applyBorder="1"/>
    <xf numFmtId="164" fontId="7" fillId="0" borderId="1" xfId="1" applyNumberFormat="1" applyFont="1" applyBorder="1"/>
    <xf numFmtId="9" fontId="7" fillId="0" borderId="0" xfId="0" applyNumberFormat="1" applyFont="1"/>
    <xf numFmtId="0" fontId="12" fillId="0" borderId="0" xfId="0" applyFont="1"/>
    <xf numFmtId="4" fontId="7" fillId="0" borderId="0" xfId="0" applyNumberFormat="1" applyFont="1"/>
    <xf numFmtId="166" fontId="7" fillId="0" borderId="0" xfId="2" applyNumberFormat="1" applyFont="1" applyFill="1"/>
    <xf numFmtId="0" fontId="7" fillId="0" borderId="0" xfId="0" applyFont="1" applyAlignment="1">
      <alignment wrapText="1"/>
    </xf>
    <xf numFmtId="0" fontId="14" fillId="0" borderId="0" xfId="3" applyFont="1"/>
    <xf numFmtId="0" fontId="10" fillId="0" borderId="1" xfId="0" applyFont="1" applyFill="1" applyBorder="1" applyAlignment="1">
      <alignment horizontal="center" wrapText="1"/>
    </xf>
    <xf numFmtId="0" fontId="10" fillId="0" borderId="0" xfId="0" applyFont="1" applyFill="1" applyBorder="1" applyAlignment="1">
      <alignment horizontal="center" wrapText="1"/>
    </xf>
    <xf numFmtId="0" fontId="10" fillId="0" borderId="3" xfId="0" applyFont="1" applyBorder="1" applyAlignment="1">
      <alignment horizontal="center" wrapText="1"/>
    </xf>
    <xf numFmtId="164" fontId="10" fillId="0" borderId="3" xfId="1" applyNumberFormat="1" applyFont="1" applyFill="1" applyBorder="1" applyAlignment="1">
      <alignment horizontal="center" wrapText="1"/>
    </xf>
    <xf numFmtId="0" fontId="7" fillId="0" borderId="2" xfId="0" applyFont="1" applyBorder="1" applyAlignment="1">
      <alignment horizontal="center"/>
    </xf>
    <xf numFmtId="0" fontId="7" fillId="0" borderId="0" xfId="0" applyFont="1" applyAlignment="1">
      <alignment horizontal="center"/>
    </xf>
    <xf numFmtId="0" fontId="7" fillId="4" borderId="0" xfId="0" applyFont="1" applyFill="1" applyAlignment="1">
      <alignment horizontal="center"/>
    </xf>
    <xf numFmtId="1" fontId="7" fillId="0" borderId="0" xfId="0" applyNumberFormat="1" applyFont="1"/>
    <xf numFmtId="3" fontId="7" fillId="0" borderId="0" xfId="0" applyNumberFormat="1" applyFont="1" applyFill="1"/>
    <xf numFmtId="0" fontId="7" fillId="0" borderId="0" xfId="0" applyFont="1" applyBorder="1" applyAlignment="1">
      <alignment horizontal="center"/>
    </xf>
    <xf numFmtId="0" fontId="7" fillId="4" borderId="1" xfId="0" applyFont="1" applyFill="1" applyBorder="1" applyAlignment="1">
      <alignment horizontal="center"/>
    </xf>
    <xf numFmtId="1" fontId="7" fillId="0" borderId="1" xfId="0" applyNumberFormat="1" applyFont="1" applyBorder="1"/>
    <xf numFmtId="3" fontId="7" fillId="0" borderId="1" xfId="0" applyNumberFormat="1" applyFont="1" applyFill="1" applyBorder="1"/>
    <xf numFmtId="165" fontId="7" fillId="0" borderId="0" xfId="0" applyNumberFormat="1" applyFont="1" applyBorder="1"/>
    <xf numFmtId="0" fontId="7" fillId="0" borderId="0" xfId="0" applyFont="1" applyFill="1" applyBorder="1" applyAlignment="1">
      <alignment horizontal="center"/>
    </xf>
    <xf numFmtId="0" fontId="7" fillId="0" borderId="0" xfId="0" applyFont="1" applyBorder="1" applyAlignment="1">
      <alignment horizontal="left"/>
    </xf>
    <xf numFmtId="3" fontId="7" fillId="3" borderId="1" xfId="0" applyNumberFormat="1" applyFont="1" applyFill="1" applyBorder="1"/>
    <xf numFmtId="3" fontId="10" fillId="0" borderId="3" xfId="0" applyNumberFormat="1" applyFont="1" applyFill="1" applyBorder="1" applyAlignment="1">
      <alignment horizontal="center" wrapText="1"/>
    </xf>
    <xf numFmtId="0" fontId="10" fillId="4" borderId="3" xfId="0" applyFont="1" applyFill="1" applyBorder="1" applyAlignment="1">
      <alignment horizontal="center" wrapText="1"/>
    </xf>
    <xf numFmtId="9" fontId="7" fillId="0" borderId="0" xfId="2" applyFont="1" applyAlignment="1">
      <alignment horizontal="center"/>
    </xf>
    <xf numFmtId="9" fontId="7" fillId="4" borderId="0" xfId="2" applyFont="1" applyFill="1" applyAlignment="1">
      <alignment horizontal="center"/>
    </xf>
    <xf numFmtId="9" fontId="7" fillId="0" borderId="1" xfId="2" applyFont="1" applyBorder="1" applyAlignment="1">
      <alignment horizontal="center"/>
    </xf>
    <xf numFmtId="9" fontId="7" fillId="4" borderId="1" xfId="2" applyFont="1" applyFill="1" applyBorder="1" applyAlignment="1">
      <alignment horizontal="center"/>
    </xf>
    <xf numFmtId="0" fontId="7" fillId="0" borderId="0" xfId="0" applyFont="1" applyAlignment="1">
      <alignment horizontal="left"/>
    </xf>
    <xf numFmtId="0" fontId="7" fillId="0" borderId="0" xfId="0" applyFont="1" applyFill="1" applyAlignment="1">
      <alignment horizontal="left"/>
    </xf>
    <xf numFmtId="1" fontId="7" fillId="0" borderId="0" xfId="0" applyNumberFormat="1" applyFont="1" applyFill="1"/>
    <xf numFmtId="2" fontId="7" fillId="0" borderId="0" xfId="0" applyNumberFormat="1" applyFont="1"/>
    <xf numFmtId="2" fontId="7" fillId="0" borderId="1" xfId="0" applyNumberFormat="1" applyFont="1" applyBorder="1"/>
    <xf numFmtId="0" fontId="7" fillId="0" borderId="5" xfId="0" applyFont="1" applyBorder="1" applyAlignment="1">
      <alignment horizontal="center"/>
    </xf>
    <xf numFmtId="164" fontId="10" fillId="0" borderId="0" xfId="1" applyNumberFormat="1" applyFont="1" applyFill="1"/>
    <xf numFmtId="0" fontId="12" fillId="0" borderId="0" xfId="0" applyFont="1" applyFill="1"/>
    <xf numFmtId="164" fontId="7" fillId="0" borderId="0" xfId="1" applyNumberFormat="1" applyFont="1" applyFill="1"/>
    <xf numFmtId="167" fontId="10" fillId="0" borderId="0" xfId="0" applyNumberFormat="1" applyFont="1"/>
    <xf numFmtId="167" fontId="7" fillId="0" borderId="0" xfId="0" applyNumberFormat="1" applyFont="1"/>
    <xf numFmtId="0" fontId="7" fillId="0" borderId="0" xfId="2" applyNumberFormat="1" applyFont="1" applyAlignment="1">
      <alignment horizontal="center"/>
    </xf>
    <xf numFmtId="0" fontId="7" fillId="0" borderId="1" xfId="2" applyNumberFormat="1" applyFont="1" applyBorder="1" applyAlignment="1">
      <alignment horizontal="center"/>
    </xf>
    <xf numFmtId="10" fontId="7" fillId="0" borderId="0" xfId="2" applyNumberFormat="1" applyFont="1"/>
    <xf numFmtId="9" fontId="7" fillId="0" borderId="0" xfId="2" applyFont="1"/>
    <xf numFmtId="0" fontId="7" fillId="0" borderId="0" xfId="0" applyFont="1" applyAlignment="1">
      <alignment horizontal="right"/>
    </xf>
    <xf numFmtId="10" fontId="7" fillId="0" borderId="0" xfId="0" applyNumberFormat="1" applyFont="1"/>
    <xf numFmtId="164" fontId="7" fillId="0" borderId="0" xfId="0" applyNumberFormat="1" applyFont="1"/>
    <xf numFmtId="168" fontId="7" fillId="0" borderId="0" xfId="0" applyNumberFormat="1" applyFont="1"/>
    <xf numFmtId="168" fontId="7" fillId="0" borderId="1" xfId="0" applyNumberFormat="1" applyFont="1" applyBorder="1"/>
    <xf numFmtId="0" fontId="10" fillId="0" borderId="2" xfId="0" applyFont="1" applyBorder="1" applyAlignment="1">
      <alignment horizontal="center"/>
    </xf>
    <xf numFmtId="3" fontId="10" fillId="0" borderId="0" xfId="0" applyNumberFormat="1" applyFont="1" applyBorder="1" applyAlignment="1">
      <alignment horizontal="center"/>
    </xf>
    <xf numFmtId="0" fontId="10" fillId="0" borderId="0" xfId="0" applyFont="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topLeftCell="A13" zoomScaleNormal="100" zoomScaleSheetLayoutView="100" workbookViewId="0">
      <selection activeCell="A35" sqref="A35"/>
    </sheetView>
  </sheetViews>
  <sheetFormatPr defaultRowHeight="14.4" x14ac:dyDescent="0.3"/>
  <cols>
    <col min="1" max="1" width="5" customWidth="1"/>
    <col min="2" max="2" width="37" bestFit="1" customWidth="1"/>
    <col min="3" max="3" width="17.6640625" customWidth="1"/>
  </cols>
  <sheetData>
    <row r="1" spans="1:11" ht="18" x14ac:dyDescent="0.35">
      <c r="A1" s="6" t="s">
        <v>20</v>
      </c>
      <c r="B1" s="6"/>
    </row>
    <row r="2" spans="1:11" ht="15" thickBot="1" x14ac:dyDescent="0.35">
      <c r="A2" s="5"/>
      <c r="B2" s="5"/>
      <c r="C2" s="55" t="s">
        <v>167</v>
      </c>
    </row>
    <row r="3" spans="1:11" ht="15" thickBot="1" x14ac:dyDescent="0.35">
      <c r="A3" s="7"/>
      <c r="B3" s="7"/>
      <c r="C3" s="8" t="s">
        <v>21</v>
      </c>
    </row>
    <row r="4" spans="1:11" x14ac:dyDescent="0.3">
      <c r="A4" s="9" t="s">
        <v>22</v>
      </c>
      <c r="B4" s="9"/>
      <c r="C4" s="10"/>
    </row>
    <row r="5" spans="1:11" s="41" customFormat="1" x14ac:dyDescent="0.3">
      <c r="A5" s="46" t="s">
        <v>189</v>
      </c>
      <c r="C5" s="42"/>
    </row>
    <row r="6" spans="1:11" x14ac:dyDescent="0.3">
      <c r="B6" t="s">
        <v>23</v>
      </c>
      <c r="C6" s="1">
        <f>'A-Project Costs'!B6</f>
        <v>1456734.8477707605</v>
      </c>
    </row>
    <row r="7" spans="1:11" x14ac:dyDescent="0.3">
      <c r="B7" t="s">
        <v>24</v>
      </c>
      <c r="C7" s="1">
        <f>'A-Project Costs'!C6</f>
        <v>200000</v>
      </c>
    </row>
    <row r="8" spans="1:11" x14ac:dyDescent="0.3">
      <c r="B8" s="48" t="s">
        <v>38</v>
      </c>
      <c r="C8" s="49">
        <f>'A-Project Costs'!D6</f>
        <v>28858059.316301577</v>
      </c>
      <c r="K8" s="36"/>
    </row>
    <row r="9" spans="1:11" ht="15" thickBot="1" x14ac:dyDescent="0.35">
      <c r="A9" s="31"/>
      <c r="B9" s="13" t="s">
        <v>28</v>
      </c>
      <c r="C9" s="14">
        <f>SUM(C6:C8)</f>
        <v>30514794.164072338</v>
      </c>
    </row>
    <row r="10" spans="1:11" ht="15" thickBot="1" x14ac:dyDescent="0.35">
      <c r="A10" s="3"/>
      <c r="B10" s="29"/>
      <c r="C10" s="30"/>
    </row>
    <row r="11" spans="1:11" s="41" customFormat="1" x14ac:dyDescent="0.3">
      <c r="A11" s="50" t="s">
        <v>188</v>
      </c>
      <c r="B11" s="50"/>
      <c r="C11" s="51"/>
    </row>
    <row r="12" spans="1:11" s="41" customFormat="1" x14ac:dyDescent="0.3">
      <c r="A12" s="46" t="s">
        <v>191</v>
      </c>
    </row>
    <row r="13" spans="1:11" s="41" customFormat="1" x14ac:dyDescent="0.3">
      <c r="B13" s="44" t="s">
        <v>26</v>
      </c>
      <c r="C13" s="42">
        <f>'A-Project Costs'!E6</f>
        <v>134826.3616393409</v>
      </c>
    </row>
    <row r="14" spans="1:11" s="41" customFormat="1" x14ac:dyDescent="0.3">
      <c r="A14" s="45"/>
      <c r="B14" s="45" t="s">
        <v>190</v>
      </c>
      <c r="C14" s="49">
        <f>-'A-Project Costs'!F6</f>
        <v>-7401427.8727961611</v>
      </c>
    </row>
    <row r="15" spans="1:11" s="41" customFormat="1" ht="15" thickBot="1" x14ac:dyDescent="0.35">
      <c r="B15" s="47" t="s">
        <v>31</v>
      </c>
      <c r="C15" s="43">
        <f>SUM(C13:C14)</f>
        <v>-7266601.5111568198</v>
      </c>
    </row>
    <row r="16" spans="1:11" x14ac:dyDescent="0.3">
      <c r="A16" s="32" t="s">
        <v>29</v>
      </c>
      <c r="B16" s="32"/>
      <c r="C16" s="33"/>
    </row>
    <row r="17" spans="1:6" x14ac:dyDescent="0.3">
      <c r="A17" s="15" t="s">
        <v>30</v>
      </c>
    </row>
    <row r="18" spans="1:6" x14ac:dyDescent="0.3">
      <c r="B18" t="s">
        <v>23</v>
      </c>
      <c r="C18" s="1"/>
    </row>
    <row r="19" spans="1:6" x14ac:dyDescent="0.3">
      <c r="B19" t="s">
        <v>24</v>
      </c>
      <c r="C19" s="1"/>
    </row>
    <row r="20" spans="1:6" x14ac:dyDescent="0.3">
      <c r="B20" t="s">
        <v>25</v>
      </c>
      <c r="C20" s="1">
        <f>'B-Alt Project Cost'!D8</f>
        <v>1078936.1766002516</v>
      </c>
    </row>
    <row r="21" spans="1:6" x14ac:dyDescent="0.3">
      <c r="B21" s="11" t="s">
        <v>26</v>
      </c>
      <c r="C21" s="1">
        <f>'B-Alt Project Cost'!E8</f>
        <v>702888.7137503284</v>
      </c>
    </row>
    <row r="22" spans="1:6" x14ac:dyDescent="0.3">
      <c r="A22" s="12"/>
      <c r="B22" s="12" t="s">
        <v>27</v>
      </c>
      <c r="C22" s="12"/>
    </row>
    <row r="23" spans="1:6" ht="15" thickBot="1" x14ac:dyDescent="0.35">
      <c r="B23" s="16" t="s">
        <v>31</v>
      </c>
      <c r="C23" s="2">
        <f>SUM(C18:C22)</f>
        <v>1781824.89035058</v>
      </c>
    </row>
    <row r="24" spans="1:6" x14ac:dyDescent="0.3">
      <c r="A24" s="32" t="s">
        <v>32</v>
      </c>
      <c r="B24" s="32"/>
      <c r="C24" s="33"/>
    </row>
    <row r="25" spans="1:6" x14ac:dyDescent="0.3">
      <c r="A25" s="17" t="s">
        <v>59</v>
      </c>
    </row>
    <row r="26" spans="1:6" x14ac:dyDescent="0.3">
      <c r="B26" t="s">
        <v>1</v>
      </c>
      <c r="C26" s="4">
        <f>'E-Travel Times'!B16</f>
        <v>6584003.5271167653</v>
      </c>
    </row>
    <row r="27" spans="1:6" x14ac:dyDescent="0.3">
      <c r="B27" t="s">
        <v>33</v>
      </c>
      <c r="C27" s="4">
        <f>'D-Operating Costs'!B6</f>
        <v>2766328.6947409818</v>
      </c>
    </row>
    <row r="28" spans="1:6" x14ac:dyDescent="0.3">
      <c r="A28" s="15" t="s">
        <v>131</v>
      </c>
    </row>
    <row r="29" spans="1:6" x14ac:dyDescent="0.3">
      <c r="A29" s="18"/>
      <c r="B29" s="19" t="s">
        <v>132</v>
      </c>
      <c r="C29" s="18"/>
      <c r="D29" s="34">
        <f>ROUND('H-Employment Impacts'!F17,)</f>
        <v>438</v>
      </c>
      <c r="E29" t="s">
        <v>133</v>
      </c>
      <c r="F29" t="s">
        <v>134</v>
      </c>
    </row>
    <row r="30" spans="1:6" ht="15" thickBot="1" x14ac:dyDescent="0.35">
      <c r="B30" s="16" t="s">
        <v>31</v>
      </c>
      <c r="C30" s="2">
        <f>SUM(C26:C27)</f>
        <v>9350332.2218577471</v>
      </c>
    </row>
    <row r="31" spans="1:6" x14ac:dyDescent="0.3">
      <c r="A31" s="32" t="s">
        <v>39</v>
      </c>
      <c r="B31" s="32"/>
      <c r="C31" s="33"/>
    </row>
    <row r="32" spans="1:6" x14ac:dyDescent="0.3">
      <c r="A32" s="17" t="s">
        <v>148</v>
      </c>
    </row>
    <row r="33" spans="1:3" x14ac:dyDescent="0.3">
      <c r="A33" s="18"/>
      <c r="B33" s="18" t="s">
        <v>149</v>
      </c>
      <c r="C33" s="20">
        <f>SUM('I-Livability'!C33:D33)</f>
        <v>935844.7695974852</v>
      </c>
    </row>
    <row r="34" spans="1:3" ht="15" thickBot="1" x14ac:dyDescent="0.35">
      <c r="B34" s="16" t="s">
        <v>31</v>
      </c>
      <c r="C34" s="2">
        <f>SUM(C33:C33)</f>
        <v>935844.7695974852</v>
      </c>
    </row>
    <row r="35" spans="1:3" x14ac:dyDescent="0.3">
      <c r="A35" s="32" t="s">
        <v>221</v>
      </c>
      <c r="B35" s="32"/>
      <c r="C35" s="33"/>
    </row>
    <row r="36" spans="1:3" x14ac:dyDescent="0.3">
      <c r="A36" s="17" t="s">
        <v>59</v>
      </c>
    </row>
    <row r="37" spans="1:3" x14ac:dyDescent="0.3">
      <c r="A37" s="18"/>
      <c r="B37" s="18" t="s">
        <v>87</v>
      </c>
      <c r="C37" s="20">
        <f>SUM('C-Emmisions'!B32:C32)</f>
        <v>775404.22266069823</v>
      </c>
    </row>
    <row r="38" spans="1:3" ht="15" thickBot="1" x14ac:dyDescent="0.35">
      <c r="B38" s="16" t="s">
        <v>31</v>
      </c>
      <c r="C38" s="2">
        <f>SUM(C37)</f>
        <v>775404.22266069823</v>
      </c>
    </row>
    <row r="39" spans="1:3" x14ac:dyDescent="0.3">
      <c r="A39" s="32" t="s">
        <v>34</v>
      </c>
      <c r="B39" s="32"/>
      <c r="C39" s="33"/>
    </row>
    <row r="40" spans="1:3" x14ac:dyDescent="0.3">
      <c r="A40" s="15" t="s">
        <v>66</v>
      </c>
    </row>
    <row r="41" spans="1:3" x14ac:dyDescent="0.3">
      <c r="B41" t="s">
        <v>67</v>
      </c>
      <c r="C41" s="21">
        <f>'F-Emergency Services'!B22</f>
        <v>40831367.287597343</v>
      </c>
    </row>
    <row r="42" spans="1:3" x14ac:dyDescent="0.3">
      <c r="A42" s="15" t="s">
        <v>116</v>
      </c>
    </row>
    <row r="43" spans="1:3" x14ac:dyDescent="0.3">
      <c r="A43" s="15"/>
      <c r="B43" t="s">
        <v>117</v>
      </c>
      <c r="C43" s="21">
        <f>'G-Crash Reduction'!B41</f>
        <v>1272648.9220338024</v>
      </c>
    </row>
    <row r="44" spans="1:3" ht="15" thickBot="1" x14ac:dyDescent="0.35">
      <c r="A44" s="22"/>
      <c r="B44" s="23" t="s">
        <v>31</v>
      </c>
      <c r="C44" s="24">
        <f>SUM(C41:C43)</f>
        <v>42104016.209631145</v>
      </c>
    </row>
    <row r="45" spans="1:3" ht="15" thickBot="1" x14ac:dyDescent="0.35">
      <c r="A45" s="5"/>
      <c r="B45" s="13" t="s">
        <v>35</v>
      </c>
      <c r="C45" s="25">
        <f>SUM(-C15,C23,C30,C34,C38,C44)</f>
        <v>62214023.825254478</v>
      </c>
    </row>
    <row r="46" spans="1:3" x14ac:dyDescent="0.3">
      <c r="A46" s="26" t="s">
        <v>36</v>
      </c>
    </row>
    <row r="47" spans="1:3" ht="15" thickBot="1" x14ac:dyDescent="0.35">
      <c r="A47" s="5"/>
      <c r="B47" s="27" t="s">
        <v>37</v>
      </c>
      <c r="C47" s="28">
        <f>C45-C9</f>
        <v>31699229.661182139</v>
      </c>
    </row>
    <row r="48" spans="1:3" x14ac:dyDescent="0.3">
      <c r="B48" s="35" t="s">
        <v>118</v>
      </c>
      <c r="C48" s="56">
        <f>C45/C9</f>
        <v>2.0388151232723812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Q95"/>
  <sheetViews>
    <sheetView topLeftCell="A7" workbookViewId="0">
      <selection activeCell="D16" sqref="D16"/>
    </sheetView>
  </sheetViews>
  <sheetFormatPr defaultColWidth="9.109375" defaultRowHeight="14.4" x14ac:dyDescent="0.3"/>
  <cols>
    <col min="1" max="3" width="9.109375" style="39"/>
    <col min="4" max="4" width="11.6640625" style="39" customWidth="1"/>
    <col min="5" max="16" width="9.109375" style="39"/>
    <col min="17" max="17" width="10.88671875" style="39" customWidth="1"/>
    <col min="18" max="16384" width="9.109375" style="39"/>
  </cols>
  <sheetData>
    <row r="2" spans="2:12" x14ac:dyDescent="0.3">
      <c r="B2" s="39" t="s">
        <v>150</v>
      </c>
    </row>
    <row r="4" spans="2:12" x14ac:dyDescent="0.3">
      <c r="B4" s="39" t="s">
        <v>151</v>
      </c>
      <c r="I4" s="126">
        <v>1.9511883056648434E-3</v>
      </c>
    </row>
    <row r="5" spans="2:12" x14ac:dyDescent="0.3">
      <c r="B5" s="39" t="s">
        <v>152</v>
      </c>
      <c r="I5" s="126">
        <v>1.2826664107731183E-2</v>
      </c>
    </row>
    <row r="6" spans="2:12" x14ac:dyDescent="0.3">
      <c r="B6" s="39" t="s">
        <v>219</v>
      </c>
    </row>
    <row r="8" spans="2:12" x14ac:dyDescent="0.3">
      <c r="B8" s="39" t="s">
        <v>135</v>
      </c>
      <c r="I8" s="84">
        <v>0.21</v>
      </c>
    </row>
    <row r="9" spans="2:12" x14ac:dyDescent="0.3">
      <c r="B9" s="39" t="s">
        <v>136</v>
      </c>
    </row>
    <row r="11" spans="2:12" x14ac:dyDescent="0.3">
      <c r="B11" s="53" t="s">
        <v>137</v>
      </c>
      <c r="C11" s="53"/>
      <c r="D11" s="53"/>
      <c r="E11" s="53"/>
      <c r="F11" s="53"/>
      <c r="G11" s="53"/>
      <c r="H11" s="53"/>
      <c r="I11" s="53">
        <v>3</v>
      </c>
      <c r="J11" s="53" t="s">
        <v>138</v>
      </c>
      <c r="K11" s="53"/>
      <c r="L11" s="53"/>
    </row>
    <row r="12" spans="2:12" x14ac:dyDescent="0.3">
      <c r="B12" s="53" t="s">
        <v>139</v>
      </c>
      <c r="C12" s="53"/>
      <c r="D12" s="53"/>
      <c r="E12" s="53"/>
      <c r="F12" s="53"/>
      <c r="G12" s="53"/>
      <c r="H12" s="53"/>
      <c r="I12" s="53">
        <v>0.5</v>
      </c>
      <c r="J12" s="53" t="s">
        <v>138</v>
      </c>
      <c r="K12" s="53"/>
      <c r="L12" s="53"/>
    </row>
    <row r="13" spans="2:12" x14ac:dyDescent="0.3">
      <c r="B13" s="53"/>
      <c r="C13" s="53"/>
      <c r="D13" s="53"/>
      <c r="E13" s="53"/>
      <c r="F13" s="53"/>
      <c r="G13" s="53"/>
      <c r="H13" s="53"/>
      <c r="I13" s="53"/>
      <c r="J13" s="53"/>
      <c r="K13" s="53"/>
      <c r="L13" s="53"/>
    </row>
    <row r="14" spans="2:12" x14ac:dyDescent="0.3">
      <c r="B14" s="39" t="s">
        <v>185</v>
      </c>
      <c r="I14" s="39">
        <f>155+475+90+230+435+215</f>
        <v>1600</v>
      </c>
    </row>
    <row r="15" spans="2:12" x14ac:dyDescent="0.3">
      <c r="B15" s="39" t="s">
        <v>201</v>
      </c>
    </row>
    <row r="17" spans="2:17" x14ac:dyDescent="0.3">
      <c r="B17" s="39" t="s">
        <v>82</v>
      </c>
      <c r="I17" s="52">
        <f>100/8.7</f>
        <v>11.494252873563219</v>
      </c>
      <c r="J17" s="39" t="s">
        <v>83</v>
      </c>
    </row>
    <row r="18" spans="2:17" x14ac:dyDescent="0.3">
      <c r="B18" s="53" t="s">
        <v>192</v>
      </c>
      <c r="I18" s="39">
        <f>MROUND(I14*I17,100)</f>
        <v>18400</v>
      </c>
      <c r="J18" s="53" t="s">
        <v>181</v>
      </c>
    </row>
    <row r="19" spans="2:17" x14ac:dyDescent="0.3">
      <c r="B19" s="53" t="s">
        <v>193</v>
      </c>
      <c r="I19" s="39">
        <f>ROUND(I18*I8*I4,)</f>
        <v>8</v>
      </c>
      <c r="J19" s="39" t="s">
        <v>181</v>
      </c>
    </row>
    <row r="20" spans="2:17" x14ac:dyDescent="0.3">
      <c r="B20" s="53" t="s">
        <v>194</v>
      </c>
      <c r="I20" s="39">
        <f>ROUND(I18*I8*I5,)</f>
        <v>50</v>
      </c>
      <c r="J20" s="39" t="s">
        <v>181</v>
      </c>
    </row>
    <row r="22" spans="2:17" x14ac:dyDescent="0.3">
      <c r="B22" s="53" t="s">
        <v>50</v>
      </c>
      <c r="C22" s="53"/>
      <c r="D22" s="53"/>
      <c r="E22" s="53"/>
      <c r="F22" s="53"/>
      <c r="G22" s="53"/>
      <c r="H22" s="53"/>
      <c r="I22" s="53">
        <v>250</v>
      </c>
      <c r="J22" s="53" t="s">
        <v>51</v>
      </c>
    </row>
    <row r="23" spans="2:17" x14ac:dyDescent="0.3">
      <c r="B23" s="53" t="s">
        <v>140</v>
      </c>
      <c r="I23" s="39">
        <f>I19*I22*I11</f>
        <v>6000</v>
      </c>
      <c r="J23" s="53" t="s">
        <v>68</v>
      </c>
    </row>
    <row r="24" spans="2:17" x14ac:dyDescent="0.3">
      <c r="B24" s="53" t="s">
        <v>141</v>
      </c>
      <c r="I24" s="39">
        <f>I20*I12*I22</f>
        <v>6250</v>
      </c>
      <c r="J24" s="53" t="s">
        <v>68</v>
      </c>
    </row>
    <row r="27" spans="2:17" x14ac:dyDescent="0.3">
      <c r="B27" s="39" t="s">
        <v>144</v>
      </c>
      <c r="I27" s="39">
        <v>10</v>
      </c>
      <c r="J27" s="39" t="s">
        <v>143</v>
      </c>
    </row>
    <row r="28" spans="2:17" x14ac:dyDescent="0.3">
      <c r="B28" s="39" t="s">
        <v>220</v>
      </c>
    </row>
    <row r="31" spans="2:17" ht="16.2" thickBot="1" x14ac:dyDescent="0.35">
      <c r="B31" s="57" t="s">
        <v>142</v>
      </c>
      <c r="C31" s="57"/>
      <c r="D31" s="57"/>
      <c r="E31" s="57"/>
      <c r="F31" s="57"/>
      <c r="G31" s="57"/>
      <c r="H31" s="57"/>
      <c r="I31" s="58"/>
      <c r="J31" s="58"/>
      <c r="K31" s="58"/>
      <c r="L31" s="58"/>
      <c r="M31" s="58"/>
      <c r="N31" s="58"/>
      <c r="O31" s="58"/>
      <c r="P31" s="58"/>
      <c r="Q31" s="58"/>
    </row>
    <row r="32" spans="2:17" ht="88.8" thickBot="1" x14ac:dyDescent="0.35">
      <c r="B32" s="72" t="s">
        <v>4</v>
      </c>
      <c r="C32" s="90" t="s">
        <v>207</v>
      </c>
      <c r="D32" s="91" t="s">
        <v>146</v>
      </c>
      <c r="E32" s="72"/>
      <c r="F32" s="75"/>
      <c r="G32" s="72"/>
      <c r="H32" s="92" t="s">
        <v>49</v>
      </c>
      <c r="I32" s="92" t="s">
        <v>208</v>
      </c>
      <c r="J32" s="92" t="s">
        <v>209</v>
      </c>
      <c r="K32" s="92" t="s">
        <v>45</v>
      </c>
      <c r="L32" s="92" t="s">
        <v>210</v>
      </c>
      <c r="M32" s="92" t="s">
        <v>211</v>
      </c>
      <c r="N32" s="92" t="s">
        <v>76</v>
      </c>
      <c r="O32" s="91" t="s">
        <v>80</v>
      </c>
      <c r="P32" s="91" t="s">
        <v>145</v>
      </c>
      <c r="Q32" s="91" t="s">
        <v>147</v>
      </c>
    </row>
    <row r="33" spans="2:17" ht="15" thickBot="1" x14ac:dyDescent="0.35">
      <c r="B33" s="72" t="s">
        <v>2</v>
      </c>
      <c r="C33" s="93">
        <f>SUM(C34:C88)</f>
        <v>3442.0624429294348</v>
      </c>
      <c r="D33" s="93">
        <f>SUM(D34:D88)</f>
        <v>932402.70715455571</v>
      </c>
      <c r="E33" s="72"/>
      <c r="F33" s="75"/>
      <c r="G33" s="72"/>
      <c r="H33" s="92"/>
      <c r="I33" s="92"/>
      <c r="J33" s="92"/>
      <c r="K33" s="92"/>
      <c r="L33" s="92"/>
      <c r="M33" s="92"/>
      <c r="N33" s="92"/>
      <c r="O33" s="92"/>
      <c r="P33" s="92"/>
      <c r="Q33" s="92"/>
    </row>
    <row r="34" spans="2:17" x14ac:dyDescent="0.3">
      <c r="B34" s="95">
        <v>2018</v>
      </c>
      <c r="C34" s="37">
        <f t="shared" ref="C34:C65" si="0">N34*(1/((1+$E$89)^(B34-2018)))</f>
        <v>175.8952961748885</v>
      </c>
      <c r="D34" s="37">
        <f t="shared" ref="D34:D65" si="1">SUM(O34,P34,Q34)*(1/((1+$E$90)^(B34-2018)))</f>
        <v>60282.773947401867</v>
      </c>
      <c r="E34" s="95"/>
      <c r="F34" s="96"/>
      <c r="G34" s="95"/>
      <c r="H34" s="37">
        <f>SUM(I23:I24)</f>
        <v>12250</v>
      </c>
      <c r="I34" s="37">
        <f>H34*((1+'C-Emmisions'!$I$10)^(B34-2040))</f>
        <v>9841.6035306654903</v>
      </c>
      <c r="J34" s="39">
        <f>'C-Emmisions'!$I$16</f>
        <v>17.899999999999999</v>
      </c>
      <c r="K34" s="97">
        <f>I34/J34</f>
        <v>549.81025310980397</v>
      </c>
      <c r="L34" s="37">
        <f>K34*'C-Emmisions'!$I$13</f>
        <v>4.0905882831369418</v>
      </c>
      <c r="M34" s="98">
        <v>43</v>
      </c>
      <c r="N34" s="37">
        <f>L34*M34</f>
        <v>175.8952961748885</v>
      </c>
      <c r="O34" s="37">
        <f>I34*'C-Emmisions'!$L$24</f>
        <v>247.34544811886497</v>
      </c>
      <c r="P34" s="37">
        <f>((SUM($I$19:$I$20)/2)*$I$22)*((1+'C-Emmisions'!$I$10)^(B34-2040))*$I$27</f>
        <v>58246.224977408012</v>
      </c>
      <c r="Q34" s="97">
        <f>I34*'D-Operating Costs'!$G$7</f>
        <v>1789.2035218749861</v>
      </c>
    </row>
    <row r="35" spans="2:17" x14ac:dyDescent="0.3">
      <c r="B35" s="99">
        <v>2019</v>
      </c>
      <c r="C35" s="37">
        <f t="shared" si="0"/>
        <v>169.89321803981844</v>
      </c>
      <c r="D35" s="37">
        <f t="shared" si="1"/>
        <v>56902.431483061584</v>
      </c>
      <c r="E35" s="95"/>
      <c r="F35" s="96"/>
      <c r="G35" s="95"/>
      <c r="H35" s="37">
        <f>H34</f>
        <v>12250</v>
      </c>
      <c r="I35" s="37">
        <f>H35*((1+'C-Emmisions'!$I$10)^(B35-2040))</f>
        <v>9940.0195659721485</v>
      </c>
      <c r="J35" s="39">
        <f>'C-Emmisions'!$I$16</f>
        <v>17.899999999999999</v>
      </c>
      <c r="K35" s="97">
        <f t="shared" ref="K35:K68" si="2">I35/J35</f>
        <v>555.30835564090216</v>
      </c>
      <c r="L35" s="37">
        <f>K35*'C-Emmisions'!$I$13</f>
        <v>4.131494165968312</v>
      </c>
      <c r="M35" s="98">
        <v>44</v>
      </c>
      <c r="N35" s="37">
        <f t="shared" ref="N35:N68" si="3">L35*M35</f>
        <v>181.78574330260574</v>
      </c>
      <c r="O35" s="37">
        <f>I35*'C-Emmisions'!$L$24</f>
        <v>249.81890260005369</v>
      </c>
      <c r="P35" s="37">
        <f>((SUM($I$19:$I$20)/2)*$I$22)*((1+'C-Emmisions'!$I$10)^(B35-2040))*$I$27</f>
        <v>58828.687227182105</v>
      </c>
      <c r="Q35" s="97">
        <f>I35*'D-Operating Costs'!$G$7</f>
        <v>1807.0955570937365</v>
      </c>
    </row>
    <row r="36" spans="2:17" x14ac:dyDescent="0.3">
      <c r="B36" s="99">
        <v>2020</v>
      </c>
      <c r="C36" s="37">
        <f t="shared" si="0"/>
        <v>164.0111886132062</v>
      </c>
      <c r="D36" s="37">
        <f t="shared" si="1"/>
        <v>53711.640932609524</v>
      </c>
      <c r="E36" s="95"/>
      <c r="F36" s="96"/>
      <c r="G36" s="95"/>
      <c r="H36" s="37">
        <f t="shared" ref="H36:H68" si="4">H35</f>
        <v>12250</v>
      </c>
      <c r="I36" s="37">
        <f>H36*((1+'C-Emmisions'!$I$10)^(B36-2040))</f>
        <v>10039.419761631869</v>
      </c>
      <c r="J36" s="39">
        <f>'C-Emmisions'!$I$16</f>
        <v>17.899999999999999</v>
      </c>
      <c r="K36" s="97">
        <f t="shared" si="2"/>
        <v>560.86143919731114</v>
      </c>
      <c r="L36" s="37">
        <f>K36*'C-Emmisions'!$I$13</f>
        <v>4.1728091076279954</v>
      </c>
      <c r="M36" s="98">
        <v>45</v>
      </c>
      <c r="N36" s="37">
        <f t="shared" si="3"/>
        <v>187.77640984325978</v>
      </c>
      <c r="O36" s="37">
        <f>I36*'C-Emmisions'!$L$24</f>
        <v>252.31709162605421</v>
      </c>
      <c r="P36" s="37">
        <f>((SUM($I$19:$I$20)/2)*$I$22)*((1+'C-Emmisions'!$I$10)^(B36-2040))*$I$27</f>
        <v>59416.974099453917</v>
      </c>
      <c r="Q36" s="97">
        <f>I36*'D-Operating Costs'!$G$7</f>
        <v>1825.1665126646737</v>
      </c>
    </row>
    <row r="37" spans="2:17" x14ac:dyDescent="0.3">
      <c r="B37" s="99">
        <v>2021</v>
      </c>
      <c r="C37" s="54">
        <f t="shared" si="0"/>
        <v>158.25461729947168</v>
      </c>
      <c r="D37" s="54">
        <f t="shared" si="1"/>
        <v>50699.77321676226</v>
      </c>
      <c r="E37" s="95"/>
      <c r="F37" s="96"/>
      <c r="G37" s="95"/>
      <c r="H37" s="37">
        <f t="shared" si="4"/>
        <v>12250</v>
      </c>
      <c r="I37" s="37">
        <f>H37*((1+'C-Emmisions'!$I$10)^(B37-2040))</f>
        <v>10139.813959248189</v>
      </c>
      <c r="J37" s="39">
        <f>'C-Emmisions'!$I$16</f>
        <v>17.899999999999999</v>
      </c>
      <c r="K37" s="97">
        <f t="shared" si="2"/>
        <v>566.47005358928436</v>
      </c>
      <c r="L37" s="37">
        <f>K37*'C-Emmisions'!$I$13</f>
        <v>4.2145371987042761</v>
      </c>
      <c r="M37" s="98">
        <v>46</v>
      </c>
      <c r="N37" s="37">
        <f t="shared" si="3"/>
        <v>193.8687111403967</v>
      </c>
      <c r="O37" s="37">
        <f>I37*'C-Emmisions'!$L$24</f>
        <v>254.8402625423148</v>
      </c>
      <c r="P37" s="37">
        <f>((SUM($I$19:$I$20)/2)*$I$22)*((1+'C-Emmisions'!$I$10)^(B37-2040))*$I$27</f>
        <v>60011.143840448465</v>
      </c>
      <c r="Q37" s="97">
        <f>I37*'D-Operating Costs'!$G$7</f>
        <v>1843.4181777913207</v>
      </c>
    </row>
    <row r="38" spans="2:17" x14ac:dyDescent="0.3">
      <c r="B38" s="99">
        <v>2022</v>
      </c>
      <c r="C38" s="54">
        <f t="shared" si="0"/>
        <v>152.62792936216817</v>
      </c>
      <c r="D38" s="54">
        <f t="shared" si="1"/>
        <v>47856.795279373713</v>
      </c>
      <c r="E38" s="95"/>
      <c r="F38" s="96"/>
      <c r="G38" s="95"/>
      <c r="H38" s="37">
        <f>H37</f>
        <v>12250</v>
      </c>
      <c r="I38" s="37">
        <f>H38*((1+'C-Emmisions'!$I$10)^(B38-2040))</f>
        <v>10241.212098840668</v>
      </c>
      <c r="J38" s="39">
        <f>'C-Emmisions'!$I$16</f>
        <v>17.899999999999999</v>
      </c>
      <c r="K38" s="97">
        <f t="shared" si="2"/>
        <v>572.13475412517698</v>
      </c>
      <c r="L38" s="37">
        <f>K38*'C-Emmisions'!$I$13</f>
        <v>4.2566825706913169</v>
      </c>
      <c r="M38" s="98">
        <v>47</v>
      </c>
      <c r="N38" s="37">
        <f t="shared" si="3"/>
        <v>200.06408082249189</v>
      </c>
      <c r="O38" s="37">
        <f>I38*'C-Emmisions'!$L$24</f>
        <v>257.38866516773788</v>
      </c>
      <c r="P38" s="37">
        <f>((SUM($I$19:$I$20)/2)*$I$22)*((1+'C-Emmisions'!$I$10)^(B38-2040))*$I$27</f>
        <v>60611.255278852928</v>
      </c>
      <c r="Q38" s="97">
        <f>I38*'D-Operating Costs'!$G$7</f>
        <v>1861.8523595692334</v>
      </c>
    </row>
    <row r="39" spans="2:17" x14ac:dyDescent="0.3">
      <c r="B39" s="99">
        <v>2023</v>
      </c>
      <c r="C39" s="54">
        <f t="shared" si="0"/>
        <v>144.06935388391577</v>
      </c>
      <c r="D39" s="54">
        <f t="shared" si="1"/>
        <v>45173.236665577053</v>
      </c>
      <c r="E39" s="95"/>
      <c r="F39" s="96"/>
      <c r="G39" s="95"/>
      <c r="H39" s="37">
        <f t="shared" si="4"/>
        <v>12250</v>
      </c>
      <c r="I39" s="37">
        <f>H39*((1+'C-Emmisions'!$I$10)^(B39-2040))</f>
        <v>10343.624219829075</v>
      </c>
      <c r="J39" s="39">
        <f>'C-Emmisions'!$I$16</f>
        <v>17.899999999999999</v>
      </c>
      <c r="K39" s="97">
        <f t="shared" si="2"/>
        <v>577.8561016664288</v>
      </c>
      <c r="L39" s="37">
        <f>K39*'C-Emmisions'!$I$13</f>
        <v>4.2992493963982303</v>
      </c>
      <c r="M39" s="98">
        <v>47</v>
      </c>
      <c r="N39" s="37">
        <f t="shared" si="3"/>
        <v>202.06472163071683</v>
      </c>
      <c r="O39" s="37">
        <f>I39*'C-Emmisions'!$L$24</f>
        <v>259.96255181941524</v>
      </c>
      <c r="P39" s="37">
        <f>((SUM($I$19:$I$20)/2)*$I$22)*((1+'C-Emmisions'!$I$10)^(B39-2040))*$I$27</f>
        <v>61217.367831641459</v>
      </c>
      <c r="Q39" s="97">
        <f>I39*'D-Operating Costs'!$G$7</f>
        <v>1880.4708831649257</v>
      </c>
    </row>
    <row r="40" spans="2:17" x14ac:dyDescent="0.3">
      <c r="B40" s="99">
        <v>2024</v>
      </c>
      <c r="C40" s="54">
        <f t="shared" si="0"/>
        <v>138.88411764351235</v>
      </c>
      <c r="D40" s="54">
        <f t="shared" si="1"/>
        <v>42640.157974049383</v>
      </c>
      <c r="E40" s="95"/>
      <c r="F40" s="96"/>
      <c r="G40" s="95"/>
      <c r="H40" s="37">
        <f t="shared" si="4"/>
        <v>12250</v>
      </c>
      <c r="I40" s="37">
        <f>H40*((1+'C-Emmisions'!$I$10)^(B40-2040))</f>
        <v>10447.060462027366</v>
      </c>
      <c r="J40" s="39">
        <f>'C-Emmisions'!$I$16</f>
        <v>17.899999999999999</v>
      </c>
      <c r="K40" s="97">
        <f t="shared" si="2"/>
        <v>583.6346626830931</v>
      </c>
      <c r="L40" s="37">
        <f>K40*'C-Emmisions'!$I$13</f>
        <v>4.3422418903622129</v>
      </c>
      <c r="M40" s="98">
        <v>48</v>
      </c>
      <c r="N40" s="37">
        <f t="shared" si="3"/>
        <v>208.4276107373862</v>
      </c>
      <c r="O40" s="37">
        <f>I40*'C-Emmisions'!$L$24</f>
        <v>262.5621773376094</v>
      </c>
      <c r="P40" s="37">
        <f>((SUM($I$19:$I$20)/2)*$I$22)*((1+'C-Emmisions'!$I$10)^(B40-2040))*$I$27</f>
        <v>61829.541509957882</v>
      </c>
      <c r="Q40" s="97">
        <f>I40*'D-Operating Costs'!$G$7</f>
        <v>1899.275591996575</v>
      </c>
    </row>
    <row r="41" spans="2:17" x14ac:dyDescent="0.3">
      <c r="B41" s="99">
        <v>2025</v>
      </c>
      <c r="C41" s="54">
        <f t="shared" si="0"/>
        <v>136.55856582938819</v>
      </c>
      <c r="D41" s="54">
        <f t="shared" si="1"/>
        <v>40249.121078308301</v>
      </c>
      <c r="E41" s="95"/>
      <c r="F41" s="96"/>
      <c r="G41" s="95"/>
      <c r="H41" s="37">
        <f t="shared" si="4"/>
        <v>12250</v>
      </c>
      <c r="I41" s="37">
        <f>H41*((1+'C-Emmisions'!$I$10)^(B41-2040))</f>
        <v>10551.531066647643</v>
      </c>
      <c r="J41" s="39">
        <f>'C-Emmisions'!$I$16</f>
        <v>17.899999999999999</v>
      </c>
      <c r="K41" s="97">
        <f t="shared" si="2"/>
        <v>589.47100930992428</v>
      </c>
      <c r="L41" s="37">
        <f>K41*'C-Emmisions'!$I$13</f>
        <v>4.3856643092658372</v>
      </c>
      <c r="M41" s="98">
        <v>50</v>
      </c>
      <c r="N41" s="37">
        <f t="shared" si="3"/>
        <v>219.28321546329187</v>
      </c>
      <c r="O41" s="37">
        <f>I41*'C-Emmisions'!$L$24</f>
        <v>265.18779911098562</v>
      </c>
      <c r="P41" s="37">
        <f>((SUM($I$19:$I$20)/2)*$I$22)*((1+'C-Emmisions'!$I$10)^(B41-2040))*$I$27</f>
        <v>62447.836925057483</v>
      </c>
      <c r="Q41" s="97">
        <f>I41*'D-Operating Costs'!$G$7</f>
        <v>1918.2683479165414</v>
      </c>
    </row>
    <row r="42" spans="2:17" x14ac:dyDescent="0.3">
      <c r="B42" s="99">
        <v>2026</v>
      </c>
      <c r="C42" s="54">
        <f t="shared" si="0"/>
        <v>131.4790976798464</v>
      </c>
      <c r="D42" s="54">
        <f t="shared" si="1"/>
        <v>37992.161017842402</v>
      </c>
      <c r="E42" s="95"/>
      <c r="F42" s="96"/>
      <c r="G42" s="95"/>
      <c r="H42" s="37">
        <f t="shared" si="4"/>
        <v>12250</v>
      </c>
      <c r="I42" s="37">
        <f>H42*((1+'C-Emmisions'!$I$10)^(B42-2040))</f>
        <v>10657.046377314116</v>
      </c>
      <c r="J42" s="39">
        <f>'C-Emmisions'!$I$16</f>
        <v>17.899999999999999</v>
      </c>
      <c r="K42" s="97">
        <f t="shared" si="2"/>
        <v>595.36571940302326</v>
      </c>
      <c r="L42" s="37">
        <f>K42*'C-Emmisions'!$I$13</f>
        <v>4.4295209523584935</v>
      </c>
      <c r="M42" s="98">
        <v>51</v>
      </c>
      <c r="N42" s="37">
        <f t="shared" si="3"/>
        <v>225.90556857028318</v>
      </c>
      <c r="O42" s="37">
        <f>I42*'C-Emmisions'!$L$24</f>
        <v>267.83967710209538</v>
      </c>
      <c r="P42" s="37">
        <f>((SUM($I$19:$I$20)/2)*$I$22)*((1+'C-Emmisions'!$I$10)^(B42-2040))*$I$27</f>
        <v>63072.315294308035</v>
      </c>
      <c r="Q42" s="97">
        <f>I42*'D-Operating Costs'!$G$7</f>
        <v>1937.4510313957062</v>
      </c>
    </row>
    <row r="43" spans="2:17" x14ac:dyDescent="0.3">
      <c r="B43" s="99">
        <v>2027</v>
      </c>
      <c r="C43" s="54">
        <f t="shared" si="0"/>
        <v>126.53989756543035</v>
      </c>
      <c r="D43" s="54">
        <f t="shared" si="1"/>
        <v>35861.759465440031</v>
      </c>
      <c r="E43" s="95"/>
      <c r="F43" s="96"/>
      <c r="G43" s="95"/>
      <c r="H43" s="37">
        <f t="shared" si="4"/>
        <v>12250</v>
      </c>
      <c r="I43" s="37">
        <f>H43*((1+'C-Emmisions'!$I$10)^(B43-2040))</f>
        <v>10763.61684108726</v>
      </c>
      <c r="J43" s="39">
        <f>'C-Emmisions'!$I$16</f>
        <v>17.899999999999999</v>
      </c>
      <c r="K43" s="97">
        <f t="shared" si="2"/>
        <v>601.31937659705363</v>
      </c>
      <c r="L43" s="37">
        <f>K43*'C-Emmisions'!$I$13</f>
        <v>4.4738161618820795</v>
      </c>
      <c r="M43" s="98">
        <v>52</v>
      </c>
      <c r="N43" s="37">
        <f t="shared" si="3"/>
        <v>232.63844041786814</v>
      </c>
      <c r="O43" s="37">
        <f>I43*'C-Emmisions'!$L$24</f>
        <v>270.51807387311635</v>
      </c>
      <c r="P43" s="37">
        <f>((SUM($I$19:$I$20)/2)*$I$22)*((1+'C-Emmisions'!$I$10)^(B43-2040))*$I$27</f>
        <v>63703.038447251121</v>
      </c>
      <c r="Q43" s="97">
        <f>I43*'D-Operating Costs'!$G$7</f>
        <v>1956.8255417096636</v>
      </c>
    </row>
    <row r="44" spans="2:17" x14ac:dyDescent="0.3">
      <c r="B44" s="99">
        <v>2028</v>
      </c>
      <c r="C44" s="54">
        <f t="shared" si="0"/>
        <v>121.74120626666941</v>
      </c>
      <c r="D44" s="54">
        <f t="shared" si="1"/>
        <v>33850.819682331239</v>
      </c>
      <c r="E44" s="95"/>
      <c r="F44" s="96"/>
      <c r="G44" s="95"/>
      <c r="H44" s="37">
        <f t="shared" si="4"/>
        <v>12250</v>
      </c>
      <c r="I44" s="37">
        <f>H44*((1+'C-Emmisions'!$I$10)^(B44-2040))</f>
        <v>10871.253009498132</v>
      </c>
      <c r="J44" s="39">
        <f>'C-Emmisions'!$I$16</f>
        <v>17.899999999999999</v>
      </c>
      <c r="K44" s="97">
        <f t="shared" si="2"/>
        <v>607.33257036302416</v>
      </c>
      <c r="L44" s="37">
        <f>K44*'C-Emmisions'!$I$13</f>
        <v>4.5185543235008998</v>
      </c>
      <c r="M44" s="98">
        <v>53</v>
      </c>
      <c r="N44" s="37">
        <f>L44*M44</f>
        <v>239.4833791455477</v>
      </c>
      <c r="O44" s="37">
        <f>I44*'C-Emmisions'!$L$24</f>
        <v>273.22325461184755</v>
      </c>
      <c r="P44" s="37">
        <f>((SUM($I$19:$I$20)/2)*$I$22)*((1+'C-Emmisions'!$I$10)^(B44-2040))*$I$27</f>
        <v>64340.068831723635</v>
      </c>
      <c r="Q44" s="97">
        <f>I44*'D-Operating Costs'!$G$7</f>
        <v>1976.3937971267603</v>
      </c>
    </row>
    <row r="45" spans="2:17" x14ac:dyDescent="0.3">
      <c r="B45" s="99">
        <v>2029</v>
      </c>
      <c r="C45" s="54">
        <f t="shared" si="0"/>
        <v>117.08279650474607</v>
      </c>
      <c r="D45" s="54">
        <f t="shared" si="1"/>
        <v>31952.642877714537</v>
      </c>
      <c r="E45" s="95"/>
      <c r="F45" s="96"/>
      <c r="G45" s="95"/>
      <c r="H45" s="37">
        <f t="shared" si="4"/>
        <v>12250</v>
      </c>
      <c r="I45" s="37">
        <f>H45*((1+'C-Emmisions'!$I$10)^(B45-2040))</f>
        <v>10979.965539593115</v>
      </c>
      <c r="J45" s="39">
        <f>'C-Emmisions'!$I$16</f>
        <v>17.899999999999999</v>
      </c>
      <c r="K45" s="97">
        <f t="shared" si="2"/>
        <v>613.40589606665446</v>
      </c>
      <c r="L45" s="37">
        <f>K45*'C-Emmisions'!$I$13</f>
        <v>4.5637398667359097</v>
      </c>
      <c r="M45" s="98">
        <v>54</v>
      </c>
      <c r="N45" s="37">
        <f t="shared" si="3"/>
        <v>246.44195280373913</v>
      </c>
      <c r="O45" s="37">
        <f>I45*'C-Emmisions'!$L$24</f>
        <v>275.95548715796605</v>
      </c>
      <c r="P45" s="37">
        <f>((SUM($I$19:$I$20)/2)*$I$22)*((1+'C-Emmisions'!$I$10)^(B45-2040))*$I$27</f>
        <v>64983.469520040882</v>
      </c>
      <c r="Q45" s="97">
        <f>I45*'D-Operating Costs'!$G$7</f>
        <v>1996.1577350980281</v>
      </c>
    </row>
    <row r="46" spans="2:17" x14ac:dyDescent="0.3">
      <c r="B46" s="99">
        <v>2030</v>
      </c>
      <c r="C46" s="54">
        <f t="shared" si="0"/>
        <v>112.56402467702743</v>
      </c>
      <c r="D46" s="54">
        <f t="shared" si="1"/>
        <v>30160.905893917465</v>
      </c>
      <c r="E46" s="95"/>
      <c r="F46" s="96"/>
      <c r="G46" s="95"/>
      <c r="H46" s="37">
        <f t="shared" si="4"/>
        <v>12250</v>
      </c>
      <c r="I46" s="37">
        <f>H46*((1+'C-Emmisions'!$I$10)^(B46-2040))</f>
        <v>11089.765194989044</v>
      </c>
      <c r="J46" s="39">
        <f>'C-Emmisions'!$I$16</f>
        <v>17.899999999999999</v>
      </c>
      <c r="K46" s="97">
        <f t="shared" si="2"/>
        <v>619.53995502732096</v>
      </c>
      <c r="L46" s="37">
        <f>K46*'C-Emmisions'!$I$13</f>
        <v>4.6093772654032685</v>
      </c>
      <c r="M46" s="98">
        <v>55</v>
      </c>
      <c r="N46" s="37">
        <f t="shared" si="3"/>
        <v>253.51574959717976</v>
      </c>
      <c r="O46" s="37">
        <f>I46*'C-Emmisions'!$L$24</f>
        <v>278.71504202954566</v>
      </c>
      <c r="P46" s="37">
        <f>((SUM($I$19:$I$20)/2)*$I$22)*((1+'C-Emmisions'!$I$10)^(B46-2040))*$I$27</f>
        <v>65633.304215241282</v>
      </c>
      <c r="Q46" s="97">
        <f>I46*'D-Operating Costs'!$G$7</f>
        <v>2016.119312449008</v>
      </c>
    </row>
    <row r="47" spans="2:17" x14ac:dyDescent="0.3">
      <c r="B47" s="99">
        <v>2031</v>
      </c>
      <c r="C47" s="54">
        <f t="shared" si="0"/>
        <v>106.25202329326885</v>
      </c>
      <c r="D47" s="54">
        <f t="shared" si="1"/>
        <v>28469.640142856661</v>
      </c>
      <c r="E47" s="95"/>
      <c r="F47" s="96"/>
      <c r="G47" s="95"/>
      <c r="H47" s="37">
        <f t="shared" si="4"/>
        <v>12250</v>
      </c>
      <c r="I47" s="37">
        <f>H47*((1+'C-Emmisions'!$I$10)^(B47-2040))</f>
        <v>11200.662846938932</v>
      </c>
      <c r="J47" s="39">
        <f>'C-Emmisions'!$I$16</f>
        <v>17.899999999999999</v>
      </c>
      <c r="K47" s="97">
        <f t="shared" si="2"/>
        <v>625.73535457759408</v>
      </c>
      <c r="L47" s="37">
        <f>K47*'C-Emmisions'!$I$13</f>
        <v>4.6554710380572999</v>
      </c>
      <c r="M47" s="98">
        <v>55</v>
      </c>
      <c r="N47" s="37">
        <f t="shared" si="3"/>
        <v>256.05090709315152</v>
      </c>
      <c r="O47" s="37">
        <f>I47*'C-Emmisions'!$L$24</f>
        <v>281.50219244984106</v>
      </c>
      <c r="P47" s="37">
        <f>((SUM($I$19:$I$20)/2)*$I$22)*((1+'C-Emmisions'!$I$10)^(B47-2040))*$I$27</f>
        <v>66289.637257393682</v>
      </c>
      <c r="Q47" s="97">
        <f>I47*'D-Operating Costs'!$G$7</f>
        <v>2036.2805055734977</v>
      </c>
    </row>
    <row r="48" spans="2:17" x14ac:dyDescent="0.3">
      <c r="B48" s="99">
        <v>2032</v>
      </c>
      <c r="C48" s="54">
        <f t="shared" si="0"/>
        <v>102.11749256528951</v>
      </c>
      <c r="D48" s="54">
        <f t="shared" si="1"/>
        <v>26873.211723631062</v>
      </c>
      <c r="E48" s="95"/>
      <c r="F48" s="96"/>
      <c r="G48" s="95"/>
      <c r="H48" s="37">
        <f t="shared" si="4"/>
        <v>12250</v>
      </c>
      <c r="I48" s="37">
        <f>H48*((1+'C-Emmisions'!$I$10)^(B48-2040))</f>
        <v>11312.669475408324</v>
      </c>
      <c r="J48" s="39">
        <f>'C-Emmisions'!$I$16</f>
        <v>17.899999999999999</v>
      </c>
      <c r="K48" s="97">
        <f t="shared" si="2"/>
        <v>631.99270812337011</v>
      </c>
      <c r="L48" s="37">
        <f>K48*'C-Emmisions'!$I$13</f>
        <v>4.7020257484378742</v>
      </c>
      <c r="M48" s="98">
        <v>56</v>
      </c>
      <c r="N48" s="37">
        <f t="shared" si="3"/>
        <v>263.31344191252094</v>
      </c>
      <c r="O48" s="37">
        <f>I48*'C-Emmisions'!$L$24</f>
        <v>284.31721437433953</v>
      </c>
      <c r="P48" s="37">
        <f>((SUM($I$19:$I$20)/2)*$I$22)*((1+'C-Emmisions'!$I$10)^(B48-2040))*$I$27</f>
        <v>66952.533629967627</v>
      </c>
      <c r="Q48" s="97">
        <f>I48*'D-Operating Costs'!$G$7</f>
        <v>2056.6433106292329</v>
      </c>
    </row>
    <row r="49" spans="2:17" x14ac:dyDescent="0.3">
      <c r="B49" s="99">
        <v>2033</v>
      </c>
      <c r="C49" s="54">
        <f t="shared" si="0"/>
        <v>99.83382367280808</v>
      </c>
      <c r="D49" s="54">
        <f t="shared" si="1"/>
        <v>25366.302655016239</v>
      </c>
      <c r="E49" s="95"/>
      <c r="F49" s="96"/>
      <c r="G49" s="95"/>
      <c r="H49" s="37">
        <f t="shared" si="4"/>
        <v>12250</v>
      </c>
      <c r="I49" s="37">
        <f>H49*((1+'C-Emmisions'!$I$10)^(B49-2040))</f>
        <v>11425.79617016241</v>
      </c>
      <c r="J49" s="39">
        <f>'C-Emmisions'!$I$16</f>
        <v>17.899999999999999</v>
      </c>
      <c r="K49" s="97">
        <f t="shared" si="2"/>
        <v>638.31263520460391</v>
      </c>
      <c r="L49" s="37">
        <f>K49*'C-Emmisions'!$I$13</f>
        <v>4.7490460059222537</v>
      </c>
      <c r="M49" s="98">
        <v>58</v>
      </c>
      <c r="N49" s="37">
        <f t="shared" si="3"/>
        <v>275.44466834349072</v>
      </c>
      <c r="O49" s="37">
        <f>I49*'C-Emmisions'!$L$24</f>
        <v>287.16038651808299</v>
      </c>
      <c r="P49" s="37">
        <f>((SUM($I$19:$I$20)/2)*$I$22)*((1+'C-Emmisions'!$I$10)^(B49-2040))*$I$27</f>
        <v>67622.05896626733</v>
      </c>
      <c r="Q49" s="97">
        <f>I49*'D-Operating Costs'!$G$7</f>
        <v>2077.209743735526</v>
      </c>
    </row>
    <row r="50" spans="2:17" x14ac:dyDescent="0.3">
      <c r="B50" s="99">
        <v>2034</v>
      </c>
      <c r="C50" s="54">
        <f t="shared" si="0"/>
        <v>95.860418186636039</v>
      </c>
      <c r="D50" s="54">
        <f t="shared" si="1"/>
        <v>23943.893160342421</v>
      </c>
      <c r="E50" s="95"/>
      <c r="F50" s="96"/>
      <c r="G50" s="95"/>
      <c r="H50" s="37">
        <f t="shared" si="4"/>
        <v>12250</v>
      </c>
      <c r="I50" s="37">
        <f>H50*((1+'C-Emmisions'!$I$10)^(B50-2040))</f>
        <v>11540.05413186403</v>
      </c>
      <c r="J50" s="39">
        <f>'C-Emmisions'!$I$16</f>
        <v>17.899999999999999</v>
      </c>
      <c r="K50" s="97">
        <f t="shared" si="2"/>
        <v>644.69576155664981</v>
      </c>
      <c r="L50" s="37">
        <f>K50*'C-Emmisions'!$I$13</f>
        <v>4.7965364659814753</v>
      </c>
      <c r="M50" s="98">
        <v>59</v>
      </c>
      <c r="N50" s="37">
        <f t="shared" si="3"/>
        <v>282.99565149290703</v>
      </c>
      <c r="O50" s="37">
        <f>I50*'C-Emmisions'!$L$24</f>
        <v>290.03199038326369</v>
      </c>
      <c r="P50" s="37">
        <f>((SUM($I$19:$I$20)/2)*$I$22)*((1+'C-Emmisions'!$I$10)^(B50-2040))*$I$27</f>
        <v>68298.27955592997</v>
      </c>
      <c r="Q50" s="97">
        <f>I50*'D-Operating Costs'!$G$7</f>
        <v>2097.9818411728806</v>
      </c>
    </row>
    <row r="51" spans="2:17" x14ac:dyDescent="0.3">
      <c r="B51" s="99">
        <v>2035</v>
      </c>
      <c r="C51" s="54">
        <f t="shared" si="0"/>
        <v>92.018712848251951</v>
      </c>
      <c r="D51" s="54">
        <f t="shared" si="1"/>
        <v>22601.244945743794</v>
      </c>
      <c r="E51" s="95"/>
      <c r="F51" s="96"/>
      <c r="G51" s="95"/>
      <c r="H51" s="37">
        <f t="shared" si="4"/>
        <v>12250</v>
      </c>
      <c r="I51" s="37">
        <f>H51*((1+'C-Emmisions'!$I$10)^(B51-2040))</f>
        <v>11655.454673182674</v>
      </c>
      <c r="J51" s="39">
        <f>'C-Emmisions'!$I$16</f>
        <v>17.899999999999999</v>
      </c>
      <c r="K51" s="97">
        <f t="shared" si="2"/>
        <v>651.14271917221652</v>
      </c>
      <c r="L51" s="37">
        <f>K51*'C-Emmisions'!$I$13</f>
        <v>4.844501830641291</v>
      </c>
      <c r="M51" s="98">
        <v>60</v>
      </c>
      <c r="N51" s="37">
        <f t="shared" si="3"/>
        <v>290.67010983847746</v>
      </c>
      <c r="O51" s="37">
        <f>I51*'C-Emmisions'!$L$24</f>
        <v>292.93231028709647</v>
      </c>
      <c r="P51" s="37">
        <f>((SUM($I$19:$I$20)/2)*$I$22)*((1+'C-Emmisions'!$I$10)^(B51-2040))*$I$27</f>
        <v>68981.262351489291</v>
      </c>
      <c r="Q51" s="97">
        <f>I51*'D-Operating Costs'!$G$7</f>
        <v>2118.9616595846101</v>
      </c>
    </row>
    <row r="52" spans="2:17" x14ac:dyDescent="0.3">
      <c r="B52" s="99">
        <v>2036</v>
      </c>
      <c r="C52" s="54">
        <f t="shared" si="0"/>
        <v>88.306431442068543</v>
      </c>
      <c r="D52" s="54">
        <f t="shared" si="1"/>
        <v>21333.885416075911</v>
      </c>
      <c r="E52" s="95"/>
      <c r="F52" s="96"/>
      <c r="G52" s="95"/>
      <c r="H52" s="37">
        <f t="shared" si="4"/>
        <v>12250</v>
      </c>
      <c r="I52" s="37">
        <f>H52*((1+'C-Emmisions'!$I$10)^(B52-2040))</f>
        <v>11772.009219914498</v>
      </c>
      <c r="J52" s="39">
        <f>'C-Emmisions'!$I$16</f>
        <v>17.899999999999999</v>
      </c>
      <c r="K52" s="97">
        <f t="shared" si="2"/>
        <v>657.65414636393848</v>
      </c>
      <c r="L52" s="37">
        <f>K52*'C-Emmisions'!$I$13</f>
        <v>4.8929468489477026</v>
      </c>
      <c r="M52" s="98">
        <v>61</v>
      </c>
      <c r="N52" s="37">
        <f t="shared" si="3"/>
        <v>298.46975778580986</v>
      </c>
      <c r="O52" s="37">
        <f>I52*'C-Emmisions'!$L$24</f>
        <v>295.86163338996732</v>
      </c>
      <c r="P52" s="37">
        <f>((SUM($I$19:$I$20)/2)*$I$22)*((1+'C-Emmisions'!$I$10)^(B52-2040))*$I$27</f>
        <v>69671.074975004172</v>
      </c>
      <c r="Q52" s="97">
        <f>I52*'D-Operating Costs'!$G$7</f>
        <v>2140.1512761804556</v>
      </c>
    </row>
    <row r="53" spans="2:17" x14ac:dyDescent="0.3">
      <c r="B53" s="99">
        <v>2037</v>
      </c>
      <c r="C53" s="54">
        <f t="shared" si="0"/>
        <v>84.721138913778674</v>
      </c>
      <c r="D53" s="54">
        <f t="shared" si="1"/>
        <v>20137.592775922127</v>
      </c>
      <c r="E53" s="95"/>
      <c r="F53" s="96"/>
      <c r="G53" s="95"/>
      <c r="H53" s="37">
        <f t="shared" si="4"/>
        <v>12250</v>
      </c>
      <c r="I53" s="37">
        <f>H53*((1+'C-Emmisions'!$I$10)^(B53-2040))</f>
        <v>11889.729312113646</v>
      </c>
      <c r="J53" s="39">
        <f>'C-Emmisions'!$I$16</f>
        <v>17.899999999999999</v>
      </c>
      <c r="K53" s="97">
        <f t="shared" si="2"/>
        <v>664.23068782757809</v>
      </c>
      <c r="L53" s="37">
        <f>K53*'C-Emmisions'!$I$13</f>
        <v>4.9418763174371811</v>
      </c>
      <c r="M53" s="98">
        <v>62</v>
      </c>
      <c r="N53" s="37">
        <f t="shared" si="3"/>
        <v>306.39633168110521</v>
      </c>
      <c r="O53" s="37">
        <f>I53*'C-Emmisions'!$L$24</f>
        <v>298.82024972386711</v>
      </c>
      <c r="P53" s="37">
        <f>((SUM($I$19:$I$20)/2)*$I$22)*((1+'C-Emmisions'!$I$10)^(B53-2040))*$I$27</f>
        <v>70367.785724754227</v>
      </c>
      <c r="Q53" s="97">
        <f>I53*'D-Operating Costs'!$G$7</f>
        <v>2161.5527889422606</v>
      </c>
    </row>
    <row r="54" spans="2:17" x14ac:dyDescent="0.3">
      <c r="B54" s="99">
        <v>2038</v>
      </c>
      <c r="C54" s="54">
        <f t="shared" si="0"/>
        <v>81.260266341328546</v>
      </c>
      <c r="D54" s="54">
        <f t="shared" si="1"/>
        <v>19008.381966057328</v>
      </c>
      <c r="E54" s="95"/>
      <c r="F54" s="96"/>
      <c r="G54" s="95"/>
      <c r="H54" s="37">
        <f t="shared" si="4"/>
        <v>12250</v>
      </c>
      <c r="I54" s="37">
        <f>H54*((1+'C-Emmisions'!$I$10)^(B54-2040))</f>
        <v>12008.62660523478</v>
      </c>
      <c r="J54" s="39">
        <f>'C-Emmisions'!$I$16</f>
        <v>17.899999999999999</v>
      </c>
      <c r="K54" s="97">
        <f t="shared" si="2"/>
        <v>670.87299470585367</v>
      </c>
      <c r="L54" s="37">
        <f>K54*'C-Emmisions'!$I$13</f>
        <v>4.9912950806115512</v>
      </c>
      <c r="M54" s="98">
        <v>63</v>
      </c>
      <c r="N54" s="37">
        <f t="shared" si="3"/>
        <v>314.45159007852772</v>
      </c>
      <c r="O54" s="37">
        <f>I54*'C-Emmisions'!$L$24</f>
        <v>301.80845222110571</v>
      </c>
      <c r="P54" s="37">
        <f>((SUM($I$19:$I$20)/2)*$I$22)*((1+'C-Emmisions'!$I$10)^(B54-2040))*$I$27</f>
        <v>71071.463582001757</v>
      </c>
      <c r="Q54" s="97">
        <f>I54*'D-Operating Costs'!$G$7</f>
        <v>2183.1683168316831</v>
      </c>
    </row>
    <row r="55" spans="2:17" x14ac:dyDescent="0.3">
      <c r="B55" s="99">
        <v>2039</v>
      </c>
      <c r="C55" s="54">
        <f t="shared" si="0"/>
        <v>77.921133604857999</v>
      </c>
      <c r="D55" s="54">
        <f t="shared" si="1"/>
        <v>17942.491388521408</v>
      </c>
      <c r="E55" s="95"/>
      <c r="F55" s="96"/>
      <c r="G55" s="95"/>
      <c r="H55" s="37">
        <f t="shared" si="4"/>
        <v>12250</v>
      </c>
      <c r="I55" s="37">
        <f>H55*((1+'C-Emmisions'!$I$10)^(B55-2040))</f>
        <v>12128.712871287129</v>
      </c>
      <c r="J55" s="39">
        <f>'C-Emmisions'!$I$16</f>
        <v>17.899999999999999</v>
      </c>
      <c r="K55" s="97">
        <f t="shared" si="2"/>
        <v>677.58172465291227</v>
      </c>
      <c r="L55" s="37">
        <f>K55*'C-Emmisions'!$I$13</f>
        <v>5.0412080314176677</v>
      </c>
      <c r="M55" s="98">
        <v>64</v>
      </c>
      <c r="N55" s="37">
        <f t="shared" si="3"/>
        <v>322.63731401073073</v>
      </c>
      <c r="O55" s="37">
        <f>I55*'C-Emmisions'!$L$24</f>
        <v>304.82653674331681</v>
      </c>
      <c r="P55" s="37">
        <f>((SUM($I$19:$I$20)/2)*$I$22)*((1+'C-Emmisions'!$I$10)^(B55-2040))*$I$27</f>
        <v>71782.178217821784</v>
      </c>
      <c r="Q55" s="97">
        <f>I55*'D-Operating Costs'!$G$7</f>
        <v>2205</v>
      </c>
    </row>
    <row r="56" spans="2:17" x14ac:dyDescent="0.3">
      <c r="B56" s="99">
        <v>2040</v>
      </c>
      <c r="C56" s="54">
        <f t="shared" si="0"/>
        <v>74.700969935147896</v>
      </c>
      <c r="D56" s="54">
        <f t="shared" si="1"/>
        <v>16936.370376080955</v>
      </c>
      <c r="E56" s="95"/>
      <c r="F56" s="96"/>
      <c r="G56" s="95"/>
      <c r="H56" s="37">
        <f t="shared" si="4"/>
        <v>12250</v>
      </c>
      <c r="I56" s="37">
        <f>H56*((1+'C-Emmisions'!$I$10)^(B56-2040))</f>
        <v>12250</v>
      </c>
      <c r="J56" s="39">
        <f>'C-Emmisions'!$I$16</f>
        <v>17.899999999999999</v>
      </c>
      <c r="K56" s="97">
        <f t="shared" si="2"/>
        <v>684.35754189944134</v>
      </c>
      <c r="L56" s="37">
        <f>K56*'C-Emmisions'!$I$13</f>
        <v>5.091620111731844</v>
      </c>
      <c r="M56" s="98">
        <v>65</v>
      </c>
      <c r="N56" s="37">
        <f t="shared" si="3"/>
        <v>330.95530726256987</v>
      </c>
      <c r="O56" s="37">
        <f>I56*'C-Emmisions'!$L$24</f>
        <v>307.87480211074995</v>
      </c>
      <c r="P56" s="37">
        <f>((SUM($I$19:$I$20)/2)*$I$22)*((1+'C-Emmisions'!$I$10)^(B56-2040))*$I$27</f>
        <v>72500</v>
      </c>
      <c r="Q56" s="97">
        <f>I56*'D-Operating Costs'!$G$7</f>
        <v>2227.0499999999997</v>
      </c>
    </row>
    <row r="57" spans="2:17" x14ac:dyDescent="0.3">
      <c r="B57" s="99">
        <v>2041</v>
      </c>
      <c r="C57" s="54">
        <f t="shared" si="0"/>
        <v>72.681734514902345</v>
      </c>
      <c r="D57" s="54">
        <f t="shared" si="1"/>
        <v>15986.667364338096</v>
      </c>
      <c r="E57" s="95"/>
      <c r="F57" s="96"/>
      <c r="G57" s="95"/>
      <c r="H57" s="37">
        <f t="shared" si="4"/>
        <v>12250</v>
      </c>
      <c r="I57" s="37">
        <f>H57*((1+'C-Emmisions'!$I$10)^(B57-2040))</f>
        <v>12372.5</v>
      </c>
      <c r="J57" s="39">
        <f>'C-Emmisions'!$I$16</f>
        <v>17.899999999999999</v>
      </c>
      <c r="K57" s="97">
        <f t="shared" si="2"/>
        <v>691.20111731843576</v>
      </c>
      <c r="L57" s="37">
        <f>K57*'C-Emmisions'!$I$13</f>
        <v>5.1425363128491623</v>
      </c>
      <c r="M57" s="98">
        <v>67</v>
      </c>
      <c r="N57" s="37">
        <f t="shared" si="3"/>
        <v>344.5499329608939</v>
      </c>
      <c r="O57" s="37">
        <f>I57*'C-Emmisions'!$L$24</f>
        <v>310.95355013185747</v>
      </c>
      <c r="P57" s="37">
        <f>((SUM($I$19:$I$20)/2)*$I$22)*((1+'C-Emmisions'!$I$10)^(B57-2040))*$I$27</f>
        <v>73225</v>
      </c>
      <c r="Q57" s="97">
        <f>I57*'D-Operating Costs'!$G$7</f>
        <v>2249.3204999999998</v>
      </c>
    </row>
    <row r="58" spans="2:17" x14ac:dyDescent="0.3">
      <c r="B58" s="99">
        <v>2042</v>
      </c>
      <c r="C58" s="54">
        <f t="shared" si="0"/>
        <v>69.630095222255434</v>
      </c>
      <c r="D58" s="54">
        <f t="shared" si="1"/>
        <v>15090.21872708549</v>
      </c>
      <c r="E58" s="95"/>
      <c r="F58" s="96"/>
      <c r="G58" s="95"/>
      <c r="H58" s="37">
        <f t="shared" si="4"/>
        <v>12250</v>
      </c>
      <c r="I58" s="37">
        <f>H58*((1+'C-Emmisions'!$I$10)^(B58-2040))</f>
        <v>12496.225</v>
      </c>
      <c r="J58" s="39">
        <f>'C-Emmisions'!$I$16</f>
        <v>17.899999999999999</v>
      </c>
      <c r="K58" s="97">
        <f t="shared" si="2"/>
        <v>698.11312849162016</v>
      </c>
      <c r="L58" s="37">
        <f>K58*'C-Emmisions'!$I$13</f>
        <v>5.1939616759776541</v>
      </c>
      <c r="M58" s="98">
        <v>68</v>
      </c>
      <c r="N58" s="37">
        <f t="shared" si="3"/>
        <v>353.18939396648045</v>
      </c>
      <c r="O58" s="37">
        <f>I58*'C-Emmisions'!$L$24</f>
        <v>314.06308563317606</v>
      </c>
      <c r="P58" s="37">
        <f>((SUM($I$19:$I$20)/2)*$I$22)*((1+'C-Emmisions'!$I$10)^(B58-2040))*$I$27</f>
        <v>73957.25</v>
      </c>
      <c r="Q58" s="97">
        <f>I58*'D-Operating Costs'!$G$7</f>
        <v>2271.813705</v>
      </c>
    </row>
    <row r="59" spans="2:17" x14ac:dyDescent="0.3">
      <c r="B59" s="99">
        <v>2043</v>
      </c>
      <c r="C59" s="54">
        <f t="shared" si="0"/>
        <v>66.692156899931021</v>
      </c>
      <c r="D59" s="54">
        <f t="shared" si="1"/>
        <v>14244.038237716208</v>
      </c>
      <c r="E59" s="95"/>
      <c r="F59" s="96"/>
      <c r="G59" s="95"/>
      <c r="H59" s="37">
        <f t="shared" si="4"/>
        <v>12250</v>
      </c>
      <c r="I59" s="37">
        <f>H59*((1+'C-Emmisions'!$I$10)^(B59-2040))</f>
        <v>12621.187249999999</v>
      </c>
      <c r="J59" s="39">
        <f>'C-Emmisions'!$I$16</f>
        <v>17.899999999999999</v>
      </c>
      <c r="K59" s="97">
        <f t="shared" si="2"/>
        <v>705.09425977653632</v>
      </c>
      <c r="L59" s="37">
        <f>K59*'C-Emmisions'!$I$13</f>
        <v>5.2459012927374307</v>
      </c>
      <c r="M59" s="98">
        <v>69</v>
      </c>
      <c r="N59" s="37">
        <f t="shared" si="3"/>
        <v>361.96718919888269</v>
      </c>
      <c r="O59" s="37">
        <f>I59*'C-Emmisions'!$L$24</f>
        <v>317.20371648950777</v>
      </c>
      <c r="P59" s="37">
        <f>((SUM($I$19:$I$20)/2)*$I$22)*((1+'C-Emmisions'!$I$10)^(B59-2040))*$I$27</f>
        <v>74696.822499999995</v>
      </c>
      <c r="Q59" s="97">
        <f>I59*'D-Operating Costs'!$G$7</f>
        <v>2294.5318420499998</v>
      </c>
    </row>
    <row r="60" spans="2:17" x14ac:dyDescent="0.3">
      <c r="B60" s="99">
        <v>2044</v>
      </c>
      <c r="C60" s="54">
        <f t="shared" si="0"/>
        <v>62.952409784047049</v>
      </c>
      <c r="D60" s="54">
        <f t="shared" si="1"/>
        <v>13445.307121582593</v>
      </c>
      <c r="E60" s="95"/>
      <c r="F60" s="96"/>
      <c r="G60" s="95"/>
      <c r="H60" s="37">
        <f t="shared" si="4"/>
        <v>12250</v>
      </c>
      <c r="I60" s="37">
        <f>H60*((1+'C-Emmisions'!$I$10)^(B60-2040))</f>
        <v>12747.399122500001</v>
      </c>
      <c r="J60" s="39">
        <f>'C-Emmisions'!$I$16</f>
        <v>17.899999999999999</v>
      </c>
      <c r="K60" s="97">
        <f t="shared" si="2"/>
        <v>712.14520237430179</v>
      </c>
      <c r="L60" s="37">
        <f>K60*'C-Emmisions'!$I$13</f>
        <v>5.2983603056648052</v>
      </c>
      <c r="M60" s="98">
        <v>69</v>
      </c>
      <c r="N60" s="37">
        <f t="shared" si="3"/>
        <v>365.58686109087154</v>
      </c>
      <c r="O60" s="37">
        <f>I60*'C-Emmisions'!$L$24</f>
        <v>320.3757536544029</v>
      </c>
      <c r="P60" s="37">
        <f>((SUM($I$19:$I$20)/2)*$I$22)*((1+'C-Emmisions'!$I$10)^(B60-2040))*$I$27</f>
        <v>75443.790724999999</v>
      </c>
      <c r="Q60" s="97">
        <f>I60*'D-Operating Costs'!$G$7</f>
        <v>2317.4771604705002</v>
      </c>
    </row>
    <row r="61" spans="2:17" x14ac:dyDescent="0.3">
      <c r="B61" s="99">
        <v>2045</v>
      </c>
      <c r="C61" s="54">
        <f t="shared" si="0"/>
        <v>60.283561854694909</v>
      </c>
      <c r="D61" s="54">
        <f t="shared" si="1"/>
        <v>12691.364666166743</v>
      </c>
      <c r="E61" s="95"/>
      <c r="F61" s="96"/>
      <c r="G61" s="95"/>
      <c r="H61" s="37">
        <f t="shared" si="4"/>
        <v>12250</v>
      </c>
      <c r="I61" s="37">
        <f>H61*((1+'C-Emmisions'!$I$10)^(B61-2040))</f>
        <v>12874.873113725</v>
      </c>
      <c r="J61" s="39">
        <f>'C-Emmisions'!$I$16</f>
        <v>17.899999999999999</v>
      </c>
      <c r="K61" s="97">
        <f t="shared" si="2"/>
        <v>719.26665439804469</v>
      </c>
      <c r="L61" s="37">
        <f>K61*'C-Emmisions'!$I$13</f>
        <v>5.3513439087214527</v>
      </c>
      <c r="M61" s="98">
        <v>70</v>
      </c>
      <c r="N61" s="37">
        <f t="shared" si="3"/>
        <v>374.59407361050171</v>
      </c>
      <c r="O61" s="37">
        <f>I61*'C-Emmisions'!$L$24</f>
        <v>323.5795111909469</v>
      </c>
      <c r="P61" s="37">
        <f>((SUM($I$19:$I$20)/2)*$I$22)*((1+'C-Emmisions'!$I$10)^(B61-2040))*$I$27</f>
        <v>76198.228632249986</v>
      </c>
      <c r="Q61" s="97">
        <f>I61*'D-Operating Costs'!$G$7</f>
        <v>2340.651932075205</v>
      </c>
    </row>
    <row r="62" spans="2:17" x14ac:dyDescent="0.3">
      <c r="B62" s="99">
        <v>2046</v>
      </c>
      <c r="C62" s="54">
        <f t="shared" si="0"/>
        <v>57.716077711617793</v>
      </c>
      <c r="D62" s="54">
        <f t="shared" si="1"/>
        <v>11979.699357783567</v>
      </c>
      <c r="E62" s="95"/>
      <c r="F62" s="96"/>
      <c r="G62" s="95"/>
      <c r="H62" s="37">
        <f t="shared" si="4"/>
        <v>12250</v>
      </c>
      <c r="I62" s="37">
        <f>H62*((1+'C-Emmisions'!$I$10)^(B62-2040))</f>
        <v>13003.621844862251</v>
      </c>
      <c r="J62" s="39">
        <f>'C-Emmisions'!$I$16</f>
        <v>17.899999999999999</v>
      </c>
      <c r="K62" s="97">
        <f t="shared" si="2"/>
        <v>726.45932094202522</v>
      </c>
      <c r="L62" s="37">
        <f>K62*'C-Emmisions'!$I$13</f>
        <v>5.4048573478086679</v>
      </c>
      <c r="M62" s="98">
        <v>71</v>
      </c>
      <c r="N62" s="37">
        <f t="shared" si="3"/>
        <v>383.74487169441539</v>
      </c>
      <c r="O62" s="37">
        <f>I62*'C-Emmisions'!$L$24</f>
        <v>326.81530630285641</v>
      </c>
      <c r="P62" s="37">
        <f>((SUM($I$19:$I$20)/2)*$I$22)*((1+'C-Emmisions'!$I$10)^(B62-2040))*$I$27</f>
        <v>76960.210918572513</v>
      </c>
      <c r="Q62" s="97">
        <f>I62*'D-Operating Costs'!$G$7</f>
        <v>2364.058451395957</v>
      </c>
    </row>
    <row r="63" spans="2:17" x14ac:dyDescent="0.3">
      <c r="B63" s="99">
        <v>2047</v>
      </c>
      <c r="C63" s="54">
        <f t="shared" si="0"/>
        <v>55.246981324060101</v>
      </c>
      <c r="D63" s="54">
        <f t="shared" si="1"/>
        <v>11307.940515291026</v>
      </c>
      <c r="E63" s="95"/>
      <c r="F63" s="96"/>
      <c r="G63" s="95"/>
      <c r="H63" s="37">
        <f t="shared" si="4"/>
        <v>12250</v>
      </c>
      <c r="I63" s="37">
        <f>H63*((1+'C-Emmisions'!$I$10)^(B63-2040))</f>
        <v>13133.65806331087</v>
      </c>
      <c r="J63" s="39">
        <f>'C-Emmisions'!$I$16</f>
        <v>17.899999999999999</v>
      </c>
      <c r="K63" s="97">
        <f t="shared" si="2"/>
        <v>733.72391415144534</v>
      </c>
      <c r="L63" s="37">
        <f>K63*'C-Emmisions'!$I$13</f>
        <v>5.4589059212867532</v>
      </c>
      <c r="M63" s="98">
        <v>72</v>
      </c>
      <c r="N63" s="37">
        <f t="shared" si="3"/>
        <v>393.04122633264626</v>
      </c>
      <c r="O63" s="37">
        <f>I63*'C-Emmisions'!$L$24</f>
        <v>330.08345936588483</v>
      </c>
      <c r="P63" s="37">
        <f>((SUM($I$19:$I$20)/2)*$I$22)*((1+'C-Emmisions'!$I$10)^(B63-2040))*$I$27</f>
        <v>77729.81302775821</v>
      </c>
      <c r="Q63" s="97">
        <f>I63*'D-Operating Costs'!$G$7</f>
        <v>2387.6990359099159</v>
      </c>
    </row>
    <row r="64" spans="2:17" x14ac:dyDescent="0.3">
      <c r="B64" s="99">
        <v>2048</v>
      </c>
      <c r="C64" s="54">
        <f t="shared" si="0"/>
        <v>52.873311695521188</v>
      </c>
      <c r="D64" s="54">
        <f t="shared" si="1"/>
        <v>10673.850392938262</v>
      </c>
      <c r="E64" s="95"/>
      <c r="F64" s="96"/>
      <c r="G64" s="95"/>
      <c r="H64" s="37">
        <f t="shared" si="4"/>
        <v>12250</v>
      </c>
      <c r="I64" s="37">
        <f>H64*((1+'C-Emmisions'!$I$10)^(B64-2040))</f>
        <v>13264.994643943983</v>
      </c>
      <c r="J64" s="39">
        <f>'C-Emmisions'!$I$16</f>
        <v>17.899999999999999</v>
      </c>
      <c r="K64" s="97">
        <f t="shared" si="2"/>
        <v>741.06115329295994</v>
      </c>
      <c r="L64" s="37">
        <f>K64*'C-Emmisions'!$I$13</f>
        <v>5.5134949804996225</v>
      </c>
      <c r="M64" s="98">
        <v>73</v>
      </c>
      <c r="N64" s="37">
        <f t="shared" si="3"/>
        <v>402.48513357647244</v>
      </c>
      <c r="O64" s="37">
        <f>I64*'C-Emmisions'!$L$24</f>
        <v>333.38429395954381</v>
      </c>
      <c r="P64" s="37">
        <f>((SUM($I$19:$I$20)/2)*$I$22)*((1+'C-Emmisions'!$I$10)^(B64-2040))*$I$27</f>
        <v>78507.111158035812</v>
      </c>
      <c r="Q64" s="97">
        <f>I64*'D-Operating Costs'!$G$7</f>
        <v>2411.576026269016</v>
      </c>
    </row>
    <row r="65" spans="2:17" x14ac:dyDescent="0.3">
      <c r="B65" s="99">
        <v>2049</v>
      </c>
      <c r="C65" s="54">
        <f t="shared" si="0"/>
        <v>50.592130535440447</v>
      </c>
      <c r="D65" s="54">
        <f t="shared" si="1"/>
        <v>10075.316726044526</v>
      </c>
      <c r="E65" s="95"/>
      <c r="F65" s="96"/>
      <c r="G65" s="95"/>
      <c r="H65" s="37">
        <f t="shared" si="4"/>
        <v>12250</v>
      </c>
      <c r="I65" s="37">
        <f>H65*((1+'C-Emmisions'!$I$10)^(B65-2040))</f>
        <v>13397.644590383423</v>
      </c>
      <c r="J65" s="39">
        <f>'C-Emmisions'!$I$16</f>
        <v>17.899999999999999</v>
      </c>
      <c r="K65" s="97">
        <f t="shared" si="2"/>
        <v>748.47176482588964</v>
      </c>
      <c r="L65" s="37">
        <f>K65*'C-Emmisions'!$I$13</f>
        <v>5.5686299303046196</v>
      </c>
      <c r="M65" s="98">
        <v>74</v>
      </c>
      <c r="N65" s="37">
        <f t="shared" si="3"/>
        <v>412.07861484254187</v>
      </c>
      <c r="O65" s="37">
        <f>I65*'C-Emmisions'!$L$24</f>
        <v>336.71813689913927</v>
      </c>
      <c r="P65" s="37">
        <f>((SUM($I$19:$I$20)/2)*$I$22)*((1+'C-Emmisions'!$I$10)^(B65-2040))*$I$27</f>
        <v>79292.182269616183</v>
      </c>
      <c r="Q65" s="97">
        <f>I65*'D-Operating Costs'!$G$7</f>
        <v>2435.6917865317059</v>
      </c>
    </row>
    <row r="66" spans="2:17" x14ac:dyDescent="0.3">
      <c r="B66" s="99">
        <v>2050</v>
      </c>
      <c r="C66" s="54">
        <f t="shared" ref="C66:C68" si="5">N66*(1/((1+$E$89)^(B66-2018)))</f>
        <v>49.045869410209768</v>
      </c>
      <c r="D66" s="54">
        <f t="shared" ref="D66:D68" si="6">SUM(O66,P66,Q66)*(1/((1+$E$90)^(B66-2018)))</f>
        <v>9510.3456946775423</v>
      </c>
      <c r="E66" s="95"/>
      <c r="F66" s="96"/>
      <c r="G66" s="95"/>
      <c r="H66" s="37">
        <f t="shared" si="4"/>
        <v>12250</v>
      </c>
      <c r="I66" s="37">
        <f>H66*((1+'C-Emmisions'!$I$10)^(B66-2040))</f>
        <v>13531.621036287259</v>
      </c>
      <c r="J66" s="39">
        <f>'C-Emmisions'!$I$16</f>
        <v>17.899999999999999</v>
      </c>
      <c r="K66" s="97">
        <f t="shared" si="2"/>
        <v>755.95648247414863</v>
      </c>
      <c r="L66" s="37">
        <f>K66*'C-Emmisions'!$I$13</f>
        <v>5.6243162296076665</v>
      </c>
      <c r="M66" s="98">
        <v>76</v>
      </c>
      <c r="N66" s="37">
        <f t="shared" si="3"/>
        <v>427.44803345018266</v>
      </c>
      <c r="O66" s="37">
        <f>I66*'C-Emmisions'!$L$24</f>
        <v>340.08531826813072</v>
      </c>
      <c r="P66" s="37">
        <f>((SUM($I$19:$I$20)/2)*$I$22)*((1+'C-Emmisions'!$I$10)^(B66-2040))*$I$27</f>
        <v>80085.104092312336</v>
      </c>
      <c r="Q66" s="97">
        <f>I66*'D-Operating Costs'!$G$7</f>
        <v>2460.0487043970234</v>
      </c>
    </row>
    <row r="67" spans="2:17" x14ac:dyDescent="0.3">
      <c r="B67" s="99">
        <v>2051</v>
      </c>
      <c r="C67" s="54">
        <f t="shared" si="5"/>
        <v>46.904786817904728</v>
      </c>
      <c r="D67" s="54">
        <f t="shared" si="6"/>
        <v>8977.0552818918859</v>
      </c>
      <c r="E67" s="95"/>
      <c r="F67" s="96"/>
      <c r="G67" s="95"/>
      <c r="H67" s="37">
        <f t="shared" si="4"/>
        <v>12250</v>
      </c>
      <c r="I67" s="37">
        <f>H67*((1+'C-Emmisions'!$I$10)^(B67-2040))</f>
        <v>13666.937246650128</v>
      </c>
      <c r="J67" s="39">
        <f>'C-Emmisions'!$I$16</f>
        <v>17.899999999999999</v>
      </c>
      <c r="K67" s="97">
        <f t="shared" si="2"/>
        <v>763.51604729888993</v>
      </c>
      <c r="L67" s="37">
        <f>K67*'C-Emmisions'!$I$13</f>
        <v>5.6805593919037412</v>
      </c>
      <c r="M67" s="98">
        <v>77</v>
      </c>
      <c r="N67" s="37">
        <f t="shared" si="3"/>
        <v>437.40307317658807</v>
      </c>
      <c r="O67" s="37">
        <f>I67*'C-Emmisions'!$L$24</f>
        <v>343.48617145081192</v>
      </c>
      <c r="P67" s="37">
        <f>((SUM($I$19:$I$20)/2)*$I$22)*((1+'C-Emmisions'!$I$10)^(B67-2040))*$I$27</f>
        <v>80885.955133235446</v>
      </c>
      <c r="Q67" s="97">
        <f>I67*'D-Operating Costs'!$G$7</f>
        <v>2484.649191440993</v>
      </c>
    </row>
    <row r="68" spans="2:17" x14ac:dyDescent="0.3">
      <c r="B68" s="99">
        <v>2052</v>
      </c>
      <c r="C68" s="54">
        <f t="shared" si="5"/>
        <v>44.849606815323881</v>
      </c>
      <c r="D68" s="54">
        <f t="shared" si="6"/>
        <v>8473.6690044026218</v>
      </c>
      <c r="E68" s="95"/>
      <c r="F68" s="96"/>
      <c r="G68" s="95"/>
      <c r="H68" s="37">
        <f t="shared" si="4"/>
        <v>12250</v>
      </c>
      <c r="I68" s="37">
        <f>H68*((1+'C-Emmisions'!$I$10)^(B68-2040))</f>
        <v>13803.60661911663</v>
      </c>
      <c r="J68" s="39">
        <f>'C-Emmisions'!$I$16</f>
        <v>17.899999999999999</v>
      </c>
      <c r="K68" s="97">
        <f t="shared" si="2"/>
        <v>771.15120777187883</v>
      </c>
      <c r="L68" s="37">
        <f>K68*'C-Emmisions'!$I$13</f>
        <v>5.7373649858227784</v>
      </c>
      <c r="M68" s="98">
        <v>78</v>
      </c>
      <c r="N68" s="37">
        <f t="shared" si="3"/>
        <v>447.51446889417673</v>
      </c>
      <c r="O68" s="37">
        <f>I68*'C-Emmisions'!$L$24</f>
        <v>346.92103316532007</v>
      </c>
      <c r="P68" s="37">
        <f>((SUM($I$19:$I$20)/2)*$I$22)*((1+'C-Emmisions'!$I$10)^(B68-2040))*$I$27</f>
        <v>81694.814684567813</v>
      </c>
      <c r="Q68" s="97">
        <f>I68*'D-Operating Costs'!$G$7</f>
        <v>2509.4956833554033</v>
      </c>
    </row>
    <row r="69" spans="2:17" x14ac:dyDescent="0.3">
      <c r="B69" s="99"/>
      <c r="C69" s="54"/>
      <c r="D69" s="54"/>
      <c r="E69" s="95"/>
      <c r="F69" s="96"/>
      <c r="G69" s="95"/>
      <c r="H69" s="37"/>
      <c r="I69" s="37"/>
      <c r="K69" s="97"/>
      <c r="L69" s="37"/>
      <c r="M69" s="98"/>
      <c r="N69" s="37"/>
      <c r="O69" s="37"/>
      <c r="P69" s="37"/>
      <c r="Q69" s="97"/>
    </row>
    <row r="70" spans="2:17" x14ac:dyDescent="0.3">
      <c r="B70" s="99"/>
      <c r="C70" s="54"/>
      <c r="D70" s="54"/>
      <c r="E70" s="95"/>
      <c r="F70" s="96"/>
      <c r="G70" s="95"/>
      <c r="H70" s="37"/>
      <c r="I70" s="37"/>
      <c r="K70" s="97"/>
      <c r="L70" s="37"/>
      <c r="M70" s="98"/>
      <c r="N70" s="37"/>
      <c r="O70" s="37"/>
      <c r="P70" s="37"/>
      <c r="Q70" s="97"/>
    </row>
    <row r="71" spans="2:17" x14ac:dyDescent="0.3">
      <c r="B71" s="99"/>
      <c r="C71" s="54"/>
      <c r="D71" s="54"/>
      <c r="E71" s="95"/>
      <c r="F71" s="96"/>
      <c r="G71" s="95"/>
      <c r="H71" s="37"/>
      <c r="I71" s="37"/>
      <c r="K71" s="97"/>
      <c r="L71" s="37"/>
      <c r="M71" s="98"/>
      <c r="N71" s="37"/>
      <c r="O71" s="37"/>
      <c r="P71" s="37"/>
      <c r="Q71" s="97"/>
    </row>
    <row r="72" spans="2:17" x14ac:dyDescent="0.3">
      <c r="B72" s="99"/>
      <c r="C72" s="54"/>
      <c r="D72" s="54"/>
      <c r="E72" s="95"/>
      <c r="F72" s="96"/>
      <c r="G72" s="95"/>
      <c r="H72" s="37"/>
      <c r="I72" s="37"/>
      <c r="K72" s="97"/>
      <c r="L72" s="37"/>
      <c r="M72" s="98"/>
      <c r="N72" s="37"/>
      <c r="O72" s="37"/>
      <c r="P72" s="37"/>
      <c r="Q72" s="97"/>
    </row>
    <row r="73" spans="2:17" x14ac:dyDescent="0.3">
      <c r="B73" s="99"/>
      <c r="C73" s="54"/>
      <c r="D73" s="54"/>
      <c r="E73" s="95"/>
      <c r="F73" s="96"/>
      <c r="G73" s="95"/>
      <c r="H73" s="37"/>
      <c r="I73" s="37"/>
      <c r="K73" s="97"/>
      <c r="L73" s="37"/>
      <c r="M73" s="98"/>
      <c r="N73" s="37"/>
      <c r="O73" s="37"/>
      <c r="P73" s="37"/>
      <c r="Q73" s="97"/>
    </row>
    <row r="74" spans="2:17" x14ac:dyDescent="0.3">
      <c r="B74" s="99"/>
      <c r="C74" s="54"/>
      <c r="D74" s="54"/>
      <c r="E74" s="95"/>
      <c r="F74" s="96"/>
      <c r="G74" s="95"/>
      <c r="H74" s="37"/>
      <c r="I74" s="37"/>
      <c r="K74" s="97"/>
      <c r="L74" s="37"/>
      <c r="M74" s="98"/>
      <c r="N74" s="37"/>
      <c r="O74" s="37"/>
      <c r="P74" s="37"/>
      <c r="Q74" s="97"/>
    </row>
    <row r="75" spans="2:17" x14ac:dyDescent="0.3">
      <c r="B75" s="99"/>
      <c r="C75" s="54"/>
      <c r="D75" s="54"/>
      <c r="E75" s="95"/>
      <c r="F75" s="96"/>
      <c r="G75" s="95"/>
      <c r="H75" s="37"/>
      <c r="I75" s="37"/>
      <c r="K75" s="97"/>
      <c r="L75" s="37"/>
      <c r="M75" s="98"/>
      <c r="N75" s="37"/>
      <c r="O75" s="37"/>
      <c r="P75" s="37"/>
      <c r="Q75" s="97"/>
    </row>
    <row r="76" spans="2:17" x14ac:dyDescent="0.3">
      <c r="B76" s="99"/>
      <c r="C76" s="54"/>
      <c r="D76" s="54"/>
      <c r="E76" s="95"/>
      <c r="F76" s="96"/>
      <c r="G76" s="95"/>
      <c r="H76" s="37"/>
      <c r="I76" s="37"/>
      <c r="K76" s="97"/>
      <c r="L76" s="37"/>
      <c r="M76" s="98"/>
      <c r="N76" s="37"/>
      <c r="O76" s="37"/>
      <c r="P76" s="37"/>
      <c r="Q76" s="97"/>
    </row>
    <row r="77" spans="2:17" x14ac:dyDescent="0.3">
      <c r="B77" s="99"/>
      <c r="C77" s="54"/>
      <c r="D77" s="54"/>
      <c r="E77" s="95"/>
      <c r="F77" s="96"/>
      <c r="G77" s="95"/>
      <c r="H77" s="37"/>
      <c r="I77" s="37"/>
      <c r="K77" s="97"/>
      <c r="L77" s="37"/>
      <c r="M77" s="98"/>
      <c r="N77" s="37"/>
      <c r="O77" s="37"/>
      <c r="P77" s="37"/>
      <c r="Q77" s="97"/>
    </row>
    <row r="78" spans="2:17" x14ac:dyDescent="0.3">
      <c r="B78" s="99"/>
      <c r="C78" s="54"/>
      <c r="D78" s="54"/>
      <c r="E78" s="95"/>
      <c r="F78" s="96"/>
      <c r="G78" s="95"/>
      <c r="H78" s="37"/>
      <c r="I78" s="37"/>
      <c r="K78" s="97"/>
      <c r="L78" s="37"/>
      <c r="M78" s="98"/>
      <c r="N78" s="37"/>
      <c r="O78" s="37"/>
      <c r="P78" s="37"/>
      <c r="Q78" s="97"/>
    </row>
    <row r="79" spans="2:17" x14ac:dyDescent="0.3">
      <c r="B79" s="99"/>
      <c r="C79" s="54"/>
      <c r="D79" s="54"/>
      <c r="E79" s="95"/>
      <c r="F79" s="96"/>
      <c r="G79" s="95"/>
      <c r="H79" s="37"/>
      <c r="I79" s="37"/>
      <c r="K79" s="97"/>
      <c r="L79" s="37"/>
      <c r="M79" s="98"/>
      <c r="N79" s="37"/>
      <c r="O79" s="37"/>
      <c r="P79" s="37"/>
      <c r="Q79" s="97"/>
    </row>
    <row r="80" spans="2:17" x14ac:dyDescent="0.3">
      <c r="B80" s="99"/>
      <c r="C80" s="54"/>
      <c r="D80" s="54"/>
      <c r="E80" s="95"/>
      <c r="F80" s="96"/>
      <c r="G80" s="95"/>
      <c r="H80" s="37"/>
      <c r="I80" s="37"/>
      <c r="K80" s="97"/>
      <c r="L80" s="37"/>
      <c r="M80" s="98"/>
      <c r="N80" s="37"/>
      <c r="O80" s="37"/>
      <c r="P80" s="37"/>
      <c r="Q80" s="97"/>
    </row>
    <row r="81" spans="2:17" x14ac:dyDescent="0.3">
      <c r="B81" s="99"/>
      <c r="C81" s="54"/>
      <c r="D81" s="54"/>
      <c r="E81" s="95"/>
      <c r="F81" s="96"/>
      <c r="G81" s="95"/>
      <c r="H81" s="37"/>
      <c r="I81" s="37"/>
      <c r="K81" s="97"/>
      <c r="L81" s="37"/>
      <c r="M81" s="98"/>
      <c r="N81" s="37"/>
      <c r="O81" s="37"/>
      <c r="P81" s="37"/>
      <c r="Q81" s="97"/>
    </row>
    <row r="82" spans="2:17" x14ac:dyDescent="0.3">
      <c r="B82" s="99"/>
      <c r="C82" s="54"/>
      <c r="D82" s="54"/>
      <c r="E82" s="95"/>
      <c r="F82" s="96"/>
      <c r="G82" s="95"/>
      <c r="H82" s="37"/>
      <c r="I82" s="37"/>
      <c r="K82" s="97"/>
      <c r="L82" s="37"/>
      <c r="M82" s="98"/>
      <c r="N82" s="37"/>
      <c r="O82" s="37"/>
      <c r="P82" s="37"/>
      <c r="Q82" s="97"/>
    </row>
    <row r="83" spans="2:17" x14ac:dyDescent="0.3">
      <c r="B83" s="99"/>
      <c r="C83" s="54"/>
      <c r="D83" s="54"/>
      <c r="E83" s="95"/>
      <c r="F83" s="96"/>
      <c r="G83" s="95"/>
      <c r="H83" s="37"/>
      <c r="I83" s="37"/>
      <c r="K83" s="97"/>
      <c r="L83" s="37"/>
      <c r="M83" s="98"/>
      <c r="N83" s="37"/>
      <c r="O83" s="37"/>
      <c r="P83" s="37"/>
      <c r="Q83" s="97"/>
    </row>
    <row r="84" spans="2:17" x14ac:dyDescent="0.3">
      <c r="B84" s="99"/>
      <c r="C84" s="54"/>
      <c r="D84" s="54"/>
      <c r="E84" s="95"/>
      <c r="F84" s="96"/>
      <c r="G84" s="95"/>
      <c r="H84" s="37"/>
      <c r="I84" s="37"/>
      <c r="K84" s="97"/>
      <c r="L84" s="37"/>
      <c r="M84" s="98"/>
      <c r="N84" s="37"/>
      <c r="O84" s="37"/>
      <c r="P84" s="37"/>
      <c r="Q84" s="97"/>
    </row>
    <row r="85" spans="2:17" x14ac:dyDescent="0.3">
      <c r="B85" s="99"/>
      <c r="C85" s="54"/>
      <c r="D85" s="54"/>
      <c r="E85" s="95"/>
      <c r="F85" s="96"/>
      <c r="G85" s="95"/>
      <c r="H85" s="37"/>
      <c r="I85" s="37"/>
      <c r="K85" s="97"/>
      <c r="L85" s="37"/>
      <c r="M85" s="98"/>
      <c r="N85" s="37"/>
      <c r="O85" s="37"/>
      <c r="P85" s="37"/>
      <c r="Q85" s="97"/>
    </row>
    <row r="86" spans="2:17" x14ac:dyDescent="0.3">
      <c r="B86" s="99"/>
      <c r="C86" s="54"/>
      <c r="D86" s="54"/>
      <c r="E86" s="95"/>
      <c r="F86" s="96"/>
      <c r="G86" s="95"/>
      <c r="H86" s="37"/>
      <c r="I86" s="37"/>
      <c r="K86" s="97"/>
      <c r="L86" s="37"/>
      <c r="M86" s="98"/>
      <c r="N86" s="37"/>
      <c r="O86" s="37"/>
      <c r="P86" s="37"/>
      <c r="Q86" s="97"/>
    </row>
    <row r="87" spans="2:17" x14ac:dyDescent="0.3">
      <c r="B87" s="99"/>
      <c r="C87" s="54"/>
      <c r="D87" s="54"/>
      <c r="E87" s="95"/>
      <c r="F87" s="96"/>
      <c r="G87" s="95"/>
      <c r="H87" s="37"/>
      <c r="I87" s="37"/>
      <c r="K87" s="97"/>
      <c r="L87" s="37"/>
      <c r="M87" s="98"/>
      <c r="N87" s="37"/>
      <c r="O87" s="37"/>
      <c r="P87" s="37"/>
      <c r="Q87" s="97"/>
    </row>
    <row r="88" spans="2:17" ht="15" thickBot="1" x14ac:dyDescent="0.35">
      <c r="B88" s="55"/>
      <c r="C88" s="38"/>
      <c r="D88" s="38"/>
      <c r="E88" s="55"/>
      <c r="F88" s="100"/>
      <c r="G88" s="55"/>
      <c r="H88" s="38"/>
      <c r="I88" s="38"/>
      <c r="J88" s="82"/>
      <c r="K88" s="101"/>
      <c r="L88" s="38"/>
      <c r="M88" s="102"/>
      <c r="N88" s="38"/>
      <c r="O88" s="38"/>
      <c r="P88" s="38"/>
      <c r="Q88" s="101"/>
    </row>
    <row r="89" spans="2:17" x14ac:dyDescent="0.3">
      <c r="B89" s="39" t="s">
        <v>69</v>
      </c>
      <c r="D89" s="37"/>
      <c r="E89" s="84">
        <v>7.0000000000000007E-2</v>
      </c>
      <c r="H89" s="39" t="s">
        <v>84</v>
      </c>
      <c r="J89" s="81"/>
      <c r="K89" s="81"/>
      <c r="L89" s="54"/>
      <c r="M89" s="103"/>
      <c r="N89" s="54"/>
    </row>
    <row r="90" spans="2:17" x14ac:dyDescent="0.3">
      <c r="D90" s="37"/>
      <c r="E90" s="84">
        <v>7.0000000000000007E-2</v>
      </c>
      <c r="H90" s="39" t="s">
        <v>85</v>
      </c>
      <c r="J90" s="81"/>
      <c r="K90" s="81"/>
      <c r="L90" s="54"/>
      <c r="M90" s="103"/>
      <c r="N90" s="54"/>
    </row>
    <row r="91" spans="2:17" x14ac:dyDescent="0.3">
      <c r="C91" s="39" t="s">
        <v>75</v>
      </c>
      <c r="E91" s="99"/>
      <c r="F91" s="104"/>
      <c r="G91" s="99"/>
      <c r="H91" s="54"/>
      <c r="I91" s="54"/>
      <c r="J91" s="81"/>
      <c r="K91" s="81"/>
      <c r="L91" s="54"/>
      <c r="M91" s="103"/>
      <c r="N91" s="54"/>
    </row>
    <row r="92" spans="2:17" x14ac:dyDescent="0.3">
      <c r="B92" s="105" t="s">
        <v>72</v>
      </c>
      <c r="C92" s="54"/>
      <c r="D92" s="54"/>
      <c r="E92" s="99"/>
      <c r="F92" s="104"/>
      <c r="G92" s="99"/>
      <c r="H92" s="54"/>
      <c r="I92" s="54"/>
      <c r="J92" s="81"/>
      <c r="K92" s="81"/>
      <c r="L92" s="54"/>
      <c r="M92" s="103"/>
      <c r="N92" s="54"/>
    </row>
    <row r="93" spans="2:17" x14ac:dyDescent="0.3">
      <c r="B93" s="105" t="s">
        <v>73</v>
      </c>
      <c r="C93" s="54"/>
      <c r="D93" s="54"/>
      <c r="E93" s="99"/>
      <c r="F93" s="104"/>
      <c r="G93" s="99"/>
      <c r="H93" s="54"/>
      <c r="I93" s="54"/>
      <c r="J93" s="81"/>
      <c r="K93" s="81"/>
      <c r="L93" s="54"/>
      <c r="M93" s="103"/>
      <c r="N93" s="54"/>
    </row>
    <row r="94" spans="2:17" x14ac:dyDescent="0.3">
      <c r="B94" s="39" t="s">
        <v>74</v>
      </c>
    </row>
    <row r="95" spans="2:17" x14ac:dyDescent="0.3">
      <c r="B95" s="39" t="s">
        <v>166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70"/>
  <sheetViews>
    <sheetView workbookViewId="0">
      <selection sqref="A1:XFD1048576"/>
    </sheetView>
  </sheetViews>
  <sheetFormatPr defaultColWidth="9.109375" defaultRowHeight="14.4" x14ac:dyDescent="0.3"/>
  <cols>
    <col min="1" max="1" width="9.109375" style="39"/>
    <col min="2" max="6" width="12.88671875" style="39" customWidth="1"/>
    <col min="7" max="7" width="3" style="39" customWidth="1"/>
    <col min="8" max="8" width="3" style="53" customWidth="1"/>
    <col min="9" max="9" width="3" style="39" customWidth="1"/>
    <col min="10" max="11" width="9.33203125" style="39" bestFit="1" customWidth="1"/>
    <col min="12" max="12" width="10.109375" style="39" bestFit="1" customWidth="1"/>
    <col min="13" max="13" width="9.33203125" style="39" bestFit="1" customWidth="1"/>
    <col min="14" max="14" width="11.88671875" style="39" customWidth="1"/>
    <col min="15" max="16384" width="9.109375" style="39"/>
  </cols>
  <sheetData>
    <row r="3" spans="1:14" ht="16.2" thickBot="1" x14ac:dyDescent="0.35">
      <c r="A3" s="57" t="s">
        <v>19</v>
      </c>
      <c r="B3" s="58"/>
      <c r="C3" s="58"/>
      <c r="D3" s="58"/>
      <c r="E3" s="58"/>
      <c r="F3" s="58"/>
      <c r="G3" s="58"/>
      <c r="H3" s="59"/>
      <c r="I3" s="58"/>
      <c r="J3" s="58"/>
      <c r="K3" s="58"/>
      <c r="L3" s="58"/>
      <c r="M3" s="58"/>
      <c r="N3" s="60"/>
    </row>
    <row r="4" spans="1:14" ht="16.2" x14ac:dyDescent="0.3">
      <c r="A4" s="61"/>
      <c r="B4" s="133" t="s">
        <v>195</v>
      </c>
      <c r="C4" s="133"/>
      <c r="D4" s="133"/>
      <c r="E4" s="133"/>
      <c r="F4" s="133"/>
      <c r="G4" s="62"/>
      <c r="H4" s="63"/>
      <c r="I4" s="64"/>
      <c r="J4" s="134" t="s">
        <v>12</v>
      </c>
      <c r="K4" s="134"/>
      <c r="L4" s="134"/>
      <c r="M4" s="134"/>
      <c r="N4" s="134"/>
    </row>
    <row r="5" spans="1:14" ht="16.8" thickBot="1" x14ac:dyDescent="0.35">
      <c r="A5" s="65" t="s">
        <v>4</v>
      </c>
      <c r="B5" s="65" t="s">
        <v>196</v>
      </c>
      <c r="C5" s="65" t="s">
        <v>197</v>
      </c>
      <c r="D5" s="65" t="s">
        <v>198</v>
      </c>
      <c r="E5" s="66" t="s">
        <v>199</v>
      </c>
      <c r="F5" s="66" t="s">
        <v>200</v>
      </c>
      <c r="G5" s="66"/>
      <c r="H5" s="67"/>
      <c r="I5" s="68"/>
      <c r="J5" s="69" t="s">
        <v>9</v>
      </c>
      <c r="K5" s="69" t="s">
        <v>0</v>
      </c>
      <c r="L5" s="69" t="s">
        <v>10</v>
      </c>
      <c r="M5" s="70" t="s">
        <v>11</v>
      </c>
      <c r="N5" s="71" t="s">
        <v>187</v>
      </c>
    </row>
    <row r="6" spans="1:14" ht="15" thickBot="1" x14ac:dyDescent="0.35">
      <c r="A6" s="72" t="s">
        <v>13</v>
      </c>
      <c r="B6" s="73">
        <f>SUM(B7:B61)</f>
        <v>1456734.8477707605</v>
      </c>
      <c r="C6" s="73">
        <f>SUM(C7:C61)</f>
        <v>200000</v>
      </c>
      <c r="D6" s="73">
        <f>SUM(D7:D61)</f>
        <v>28858059.316301577</v>
      </c>
      <c r="E6" s="73">
        <f>SUM(E7:E61)</f>
        <v>134826.3616393409</v>
      </c>
      <c r="F6" s="73">
        <f>SUM(F7:F61)</f>
        <v>7401427.8727961611</v>
      </c>
      <c r="G6" s="74"/>
      <c r="H6" s="75"/>
      <c r="I6" s="76"/>
      <c r="J6" s="77"/>
      <c r="K6" s="77"/>
      <c r="L6" s="77"/>
      <c r="M6" s="78"/>
      <c r="N6" s="78"/>
    </row>
    <row r="7" spans="1:14" x14ac:dyDescent="0.3">
      <c r="A7" s="39">
        <v>2018</v>
      </c>
      <c r="B7" s="79">
        <f t="shared" ref="B7:B38" si="0">(J7)*(1/((1+$C$62)^($A7-2018)))</f>
        <v>500000</v>
      </c>
      <c r="C7" s="79">
        <f t="shared" ref="C7:C38" si="1">(K7)*(1/((1+$C$62)^($A7-2018)))</f>
        <v>200000</v>
      </c>
      <c r="D7" s="79">
        <f t="shared" ref="D7:D38" si="2">(L7)*(1/((1+$C$62)^($A7-2018)))</f>
        <v>0</v>
      </c>
      <c r="E7" s="79">
        <f t="shared" ref="E7:E38" si="3">(M7)*(1/((1+$C$62)^($A7-2018)))</f>
        <v>0</v>
      </c>
      <c r="F7" s="79"/>
      <c r="H7" s="80"/>
      <c r="J7" s="37">
        <f>500000</f>
        <v>500000</v>
      </c>
      <c r="K7" s="37">
        <f>200000</f>
        <v>200000</v>
      </c>
      <c r="L7" s="37">
        <v>0</v>
      </c>
      <c r="M7" s="37">
        <v>0</v>
      </c>
      <c r="N7" s="37"/>
    </row>
    <row r="8" spans="1:14" x14ac:dyDescent="0.3">
      <c r="A8" s="81">
        <v>2019</v>
      </c>
      <c r="B8" s="79">
        <f t="shared" si="0"/>
        <v>485436.89320388349</v>
      </c>
      <c r="C8" s="79">
        <f t="shared" si="1"/>
        <v>0</v>
      </c>
      <c r="D8" s="79">
        <f t="shared" si="2"/>
        <v>0</v>
      </c>
      <c r="E8" s="79">
        <f t="shared" si="3"/>
        <v>0</v>
      </c>
      <c r="F8" s="79"/>
      <c r="H8" s="80"/>
      <c r="J8" s="37">
        <f>J7</f>
        <v>500000</v>
      </c>
      <c r="K8" s="37">
        <v>0</v>
      </c>
      <c r="L8" s="37">
        <v>0</v>
      </c>
      <c r="M8" s="37">
        <v>0</v>
      </c>
      <c r="N8" s="37"/>
    </row>
    <row r="9" spans="1:14" x14ac:dyDescent="0.3">
      <c r="A9" s="81">
        <v>2020</v>
      </c>
      <c r="B9" s="79">
        <f t="shared" si="0"/>
        <v>471297.95456687716</v>
      </c>
      <c r="C9" s="79">
        <f t="shared" si="1"/>
        <v>0</v>
      </c>
      <c r="D9" s="79">
        <f t="shared" si="2"/>
        <v>0</v>
      </c>
      <c r="E9" s="79">
        <f t="shared" si="3"/>
        <v>0</v>
      </c>
      <c r="F9" s="79"/>
      <c r="H9" s="80"/>
      <c r="J9" s="37">
        <f>J7</f>
        <v>500000</v>
      </c>
      <c r="K9" s="37">
        <v>0</v>
      </c>
      <c r="L9" s="37">
        <v>0</v>
      </c>
      <c r="M9" s="37">
        <v>0</v>
      </c>
      <c r="N9" s="37"/>
    </row>
    <row r="10" spans="1:14" x14ac:dyDescent="0.3">
      <c r="A10" s="81">
        <v>2021</v>
      </c>
      <c r="B10" s="79">
        <f t="shared" si="0"/>
        <v>0</v>
      </c>
      <c r="C10" s="79">
        <f t="shared" si="1"/>
        <v>0</v>
      </c>
      <c r="D10" s="79">
        <f t="shared" si="2"/>
        <v>14642266.549650554</v>
      </c>
      <c r="E10" s="79">
        <f t="shared" si="3"/>
        <v>0</v>
      </c>
      <c r="F10" s="79"/>
      <c r="H10" s="80"/>
      <c r="J10" s="37">
        <v>0</v>
      </c>
      <c r="K10" s="37">
        <v>0</v>
      </c>
      <c r="L10" s="37">
        <f>16000000</f>
        <v>16000000</v>
      </c>
      <c r="M10" s="37">
        <v>0</v>
      </c>
      <c r="N10" s="37"/>
    </row>
    <row r="11" spans="1:14" x14ac:dyDescent="0.3">
      <c r="A11" s="81">
        <v>2022</v>
      </c>
      <c r="B11" s="79">
        <f t="shared" si="0"/>
        <v>0</v>
      </c>
      <c r="C11" s="79">
        <f t="shared" si="1"/>
        <v>0</v>
      </c>
      <c r="D11" s="79">
        <f t="shared" si="2"/>
        <v>14215792.766651023</v>
      </c>
      <c r="E11" s="79">
        <f t="shared" si="3"/>
        <v>0</v>
      </c>
      <c r="F11" s="79"/>
      <c r="H11" s="80"/>
      <c r="J11" s="37">
        <v>0</v>
      </c>
      <c r="K11" s="37">
        <v>0</v>
      </c>
      <c r="L11" s="37">
        <f>16000000</f>
        <v>16000000</v>
      </c>
      <c r="M11" s="37">
        <v>0</v>
      </c>
      <c r="N11" s="37"/>
    </row>
    <row r="12" spans="1:14" x14ac:dyDescent="0.3">
      <c r="A12" s="81">
        <v>2023</v>
      </c>
      <c r="B12" s="79">
        <f t="shared" si="0"/>
        <v>0</v>
      </c>
      <c r="C12" s="79">
        <f t="shared" si="1"/>
        <v>0</v>
      </c>
      <c r="D12" s="79">
        <f t="shared" si="2"/>
        <v>0</v>
      </c>
      <c r="E12" s="79">
        <f t="shared" si="3"/>
        <v>0</v>
      </c>
      <c r="F12" s="79"/>
      <c r="H12" s="80"/>
      <c r="M12" s="37">
        <v>0</v>
      </c>
      <c r="N12" s="37"/>
    </row>
    <row r="13" spans="1:14" x14ac:dyDescent="0.3">
      <c r="A13" s="81">
        <v>2024</v>
      </c>
      <c r="B13" s="79">
        <f t="shared" si="0"/>
        <v>0</v>
      </c>
      <c r="C13" s="79">
        <f t="shared" si="1"/>
        <v>0</v>
      </c>
      <c r="D13" s="79">
        <f t="shared" si="2"/>
        <v>0</v>
      </c>
      <c r="E13" s="79">
        <f t="shared" si="3"/>
        <v>0</v>
      </c>
      <c r="F13" s="79"/>
      <c r="H13" s="80"/>
      <c r="M13" s="37">
        <v>0</v>
      </c>
      <c r="N13" s="37"/>
    </row>
    <row r="14" spans="1:14" x14ac:dyDescent="0.3">
      <c r="A14" s="81">
        <v>2025</v>
      </c>
      <c r="B14" s="79">
        <f t="shared" si="0"/>
        <v>0</v>
      </c>
      <c r="C14" s="79">
        <f t="shared" si="1"/>
        <v>0</v>
      </c>
      <c r="D14" s="79">
        <f t="shared" si="2"/>
        <v>0</v>
      </c>
      <c r="E14" s="79">
        <f t="shared" si="3"/>
        <v>12196.372670150307</v>
      </c>
      <c r="F14" s="79"/>
      <c r="H14" s="80"/>
      <c r="M14" s="37">
        <f>15000</f>
        <v>15000</v>
      </c>
      <c r="N14" s="37"/>
    </row>
    <row r="15" spans="1:14" x14ac:dyDescent="0.3">
      <c r="A15" s="81">
        <v>2026</v>
      </c>
      <c r="B15" s="79">
        <f t="shared" si="0"/>
        <v>0</v>
      </c>
      <c r="C15" s="79">
        <f t="shared" si="1"/>
        <v>0</v>
      </c>
      <c r="D15" s="79">
        <f t="shared" si="2"/>
        <v>0</v>
      </c>
      <c r="E15" s="79">
        <f t="shared" si="3"/>
        <v>0</v>
      </c>
      <c r="F15" s="79"/>
      <c r="H15" s="80"/>
      <c r="M15" s="37">
        <v>0</v>
      </c>
      <c r="N15" s="37"/>
    </row>
    <row r="16" spans="1:14" x14ac:dyDescent="0.3">
      <c r="A16" s="81">
        <v>2027</v>
      </c>
      <c r="B16" s="79">
        <f t="shared" si="0"/>
        <v>0</v>
      </c>
      <c r="C16" s="79">
        <f t="shared" si="1"/>
        <v>0</v>
      </c>
      <c r="D16" s="79">
        <f t="shared" si="2"/>
        <v>0</v>
      </c>
      <c r="E16" s="79">
        <f t="shared" si="3"/>
        <v>0</v>
      </c>
      <c r="F16" s="79"/>
      <c r="H16" s="80"/>
      <c r="M16" s="37">
        <v>0</v>
      </c>
      <c r="N16" s="37"/>
    </row>
    <row r="17" spans="1:14" x14ac:dyDescent="0.3">
      <c r="A17" s="81">
        <v>2028</v>
      </c>
      <c r="B17" s="79">
        <f t="shared" si="0"/>
        <v>0</v>
      </c>
      <c r="C17" s="79">
        <f t="shared" si="1"/>
        <v>0</v>
      </c>
      <c r="D17" s="79">
        <f t="shared" si="2"/>
        <v>0</v>
      </c>
      <c r="E17" s="79">
        <f t="shared" si="3"/>
        <v>11161.408723450877</v>
      </c>
      <c r="F17" s="79"/>
      <c r="H17" s="80"/>
      <c r="M17" s="37">
        <f>15000</f>
        <v>15000</v>
      </c>
      <c r="N17" s="37"/>
    </row>
    <row r="18" spans="1:14" x14ac:dyDescent="0.3">
      <c r="A18" s="81">
        <v>2029</v>
      </c>
      <c r="B18" s="79">
        <f t="shared" si="0"/>
        <v>0</v>
      </c>
      <c r="C18" s="79">
        <f t="shared" si="1"/>
        <v>0</v>
      </c>
      <c r="D18" s="79">
        <f t="shared" si="2"/>
        <v>0</v>
      </c>
      <c r="E18" s="79">
        <f t="shared" si="3"/>
        <v>0</v>
      </c>
      <c r="F18" s="79"/>
      <c r="H18" s="80"/>
      <c r="M18" s="37">
        <v>0</v>
      </c>
      <c r="N18" s="37"/>
    </row>
    <row r="19" spans="1:14" x14ac:dyDescent="0.3">
      <c r="A19" s="81">
        <v>2030</v>
      </c>
      <c r="B19" s="79">
        <f t="shared" si="0"/>
        <v>0</v>
      </c>
      <c r="C19" s="79">
        <f t="shared" si="1"/>
        <v>0</v>
      </c>
      <c r="D19" s="79">
        <f t="shared" si="2"/>
        <v>0</v>
      </c>
      <c r="E19" s="79">
        <f t="shared" si="3"/>
        <v>0</v>
      </c>
      <c r="F19" s="79"/>
      <c r="H19" s="80"/>
      <c r="M19" s="37">
        <v>0</v>
      </c>
      <c r="N19" s="37"/>
    </row>
    <row r="20" spans="1:14" x14ac:dyDescent="0.3">
      <c r="A20" s="81">
        <v>2031</v>
      </c>
      <c r="B20" s="79">
        <f t="shared" si="0"/>
        <v>0</v>
      </c>
      <c r="C20" s="79">
        <f t="shared" si="1"/>
        <v>0</v>
      </c>
      <c r="D20" s="79">
        <f t="shared" si="2"/>
        <v>0</v>
      </c>
      <c r="E20" s="79">
        <f t="shared" si="3"/>
        <v>13619.026799863559</v>
      </c>
      <c r="F20" s="79"/>
      <c r="H20" s="80"/>
      <c r="M20" s="37">
        <f>20000</f>
        <v>20000</v>
      </c>
      <c r="N20" s="37"/>
    </row>
    <row r="21" spans="1:14" x14ac:dyDescent="0.3">
      <c r="A21" s="81">
        <v>2032</v>
      </c>
      <c r="B21" s="79">
        <f t="shared" si="0"/>
        <v>0</v>
      </c>
      <c r="C21" s="79">
        <f t="shared" si="1"/>
        <v>0</v>
      </c>
      <c r="D21" s="79">
        <f t="shared" si="2"/>
        <v>0</v>
      </c>
      <c r="E21" s="79">
        <f t="shared" si="3"/>
        <v>0</v>
      </c>
      <c r="F21" s="79"/>
      <c r="H21" s="80"/>
      <c r="M21" s="37">
        <v>0</v>
      </c>
      <c r="N21" s="37"/>
    </row>
    <row r="22" spans="1:14" x14ac:dyDescent="0.3">
      <c r="A22" s="81">
        <v>2033</v>
      </c>
      <c r="B22" s="79">
        <f t="shared" si="0"/>
        <v>0</v>
      </c>
      <c r="C22" s="79">
        <f t="shared" si="1"/>
        <v>0</v>
      </c>
      <c r="D22" s="79">
        <f t="shared" si="2"/>
        <v>0</v>
      </c>
      <c r="E22" s="79">
        <f t="shared" si="3"/>
        <v>0</v>
      </c>
      <c r="F22" s="79"/>
      <c r="H22" s="80"/>
      <c r="M22" s="37">
        <v>0</v>
      </c>
      <c r="N22" s="37"/>
    </row>
    <row r="23" spans="1:14" x14ac:dyDescent="0.3">
      <c r="A23" s="81">
        <v>2034</v>
      </c>
      <c r="B23" s="79">
        <f t="shared" si="0"/>
        <v>0</v>
      </c>
      <c r="C23" s="79">
        <f t="shared" si="1"/>
        <v>0</v>
      </c>
      <c r="D23" s="79">
        <f t="shared" si="2"/>
        <v>0</v>
      </c>
      <c r="E23" s="79">
        <f t="shared" si="3"/>
        <v>12463.338784402287</v>
      </c>
      <c r="F23" s="79"/>
      <c r="H23" s="80"/>
      <c r="M23" s="37">
        <f>20000</f>
        <v>20000</v>
      </c>
      <c r="N23" s="37"/>
    </row>
    <row r="24" spans="1:14" x14ac:dyDescent="0.3">
      <c r="A24" s="81">
        <v>2035</v>
      </c>
      <c r="B24" s="79">
        <f t="shared" si="0"/>
        <v>0</v>
      </c>
      <c r="C24" s="79">
        <f t="shared" si="1"/>
        <v>0</v>
      </c>
      <c r="D24" s="79">
        <f t="shared" si="2"/>
        <v>0</v>
      </c>
      <c r="E24" s="79">
        <f t="shared" si="3"/>
        <v>0</v>
      </c>
      <c r="F24" s="79"/>
      <c r="H24" s="80"/>
      <c r="M24" s="37">
        <v>0</v>
      </c>
      <c r="N24" s="37"/>
    </row>
    <row r="25" spans="1:14" x14ac:dyDescent="0.3">
      <c r="A25" s="81">
        <v>2036</v>
      </c>
      <c r="B25" s="79">
        <f t="shared" si="0"/>
        <v>0</v>
      </c>
      <c r="C25" s="79">
        <f t="shared" si="1"/>
        <v>0</v>
      </c>
      <c r="D25" s="79">
        <f t="shared" si="2"/>
        <v>0</v>
      </c>
      <c r="E25" s="79">
        <f t="shared" si="3"/>
        <v>0</v>
      </c>
      <c r="F25" s="79"/>
      <c r="H25" s="80"/>
      <c r="M25" s="37">
        <v>0</v>
      </c>
      <c r="N25" s="37"/>
    </row>
    <row r="26" spans="1:14" x14ac:dyDescent="0.3">
      <c r="A26" s="81">
        <v>2037</v>
      </c>
      <c r="B26" s="79">
        <f t="shared" si="0"/>
        <v>0</v>
      </c>
      <c r="C26" s="79">
        <f t="shared" si="1"/>
        <v>0</v>
      </c>
      <c r="D26" s="79">
        <f t="shared" si="2"/>
        <v>0</v>
      </c>
      <c r="E26" s="79">
        <f t="shared" si="3"/>
        <v>14257.150670298124</v>
      </c>
      <c r="F26" s="79"/>
      <c r="H26" s="80"/>
      <c r="M26" s="37">
        <f>25000</f>
        <v>25000</v>
      </c>
      <c r="N26" s="37"/>
    </row>
    <row r="27" spans="1:14" x14ac:dyDescent="0.3">
      <c r="A27" s="81">
        <v>2038</v>
      </c>
      <c r="B27" s="79">
        <f t="shared" si="0"/>
        <v>0</v>
      </c>
      <c r="C27" s="79">
        <f t="shared" si="1"/>
        <v>0</v>
      </c>
      <c r="D27" s="79">
        <f t="shared" si="2"/>
        <v>0</v>
      </c>
      <c r="E27" s="79">
        <f t="shared" si="3"/>
        <v>0</v>
      </c>
      <c r="F27" s="79"/>
      <c r="H27" s="80"/>
      <c r="M27" s="37">
        <v>0</v>
      </c>
      <c r="N27" s="37"/>
    </row>
    <row r="28" spans="1:14" x14ac:dyDescent="0.3">
      <c r="A28" s="81">
        <v>2039</v>
      </c>
      <c r="B28" s="79">
        <f t="shared" si="0"/>
        <v>0</v>
      </c>
      <c r="C28" s="79">
        <f t="shared" si="1"/>
        <v>0</v>
      </c>
      <c r="D28" s="79">
        <f t="shared" si="2"/>
        <v>0</v>
      </c>
      <c r="E28" s="79">
        <f t="shared" si="3"/>
        <v>0</v>
      </c>
      <c r="F28" s="79"/>
      <c r="H28" s="80"/>
      <c r="M28" s="37">
        <v>0</v>
      </c>
      <c r="N28" s="37"/>
    </row>
    <row r="29" spans="1:14" x14ac:dyDescent="0.3">
      <c r="A29" s="81">
        <v>2040</v>
      </c>
      <c r="B29" s="79">
        <f t="shared" si="0"/>
        <v>0</v>
      </c>
      <c r="C29" s="79">
        <f t="shared" si="1"/>
        <v>0</v>
      </c>
      <c r="D29" s="79">
        <f t="shared" si="2"/>
        <v>0</v>
      </c>
      <c r="E29" s="79">
        <f t="shared" si="3"/>
        <v>13047.312522064638</v>
      </c>
      <c r="F29" s="79"/>
      <c r="H29" s="80"/>
      <c r="M29" s="37">
        <f>25000</f>
        <v>25000</v>
      </c>
      <c r="N29" s="37"/>
    </row>
    <row r="30" spans="1:14" x14ac:dyDescent="0.3">
      <c r="A30" s="81">
        <v>2041</v>
      </c>
      <c r="B30" s="79">
        <f t="shared" si="0"/>
        <v>0</v>
      </c>
      <c r="C30" s="79">
        <f t="shared" si="1"/>
        <v>0</v>
      </c>
      <c r="D30" s="79">
        <f t="shared" si="2"/>
        <v>0</v>
      </c>
      <c r="E30" s="79">
        <f t="shared" si="3"/>
        <v>0</v>
      </c>
      <c r="F30" s="79"/>
      <c r="H30" s="80"/>
      <c r="M30" s="37">
        <v>0</v>
      </c>
      <c r="N30" s="37"/>
    </row>
    <row r="31" spans="1:14" x14ac:dyDescent="0.3">
      <c r="A31" s="81">
        <v>2042</v>
      </c>
      <c r="B31" s="79">
        <f t="shared" si="0"/>
        <v>0</v>
      </c>
      <c r="C31" s="79">
        <f t="shared" si="1"/>
        <v>0</v>
      </c>
      <c r="D31" s="79">
        <f t="shared" si="2"/>
        <v>0</v>
      </c>
      <c r="E31" s="79">
        <f t="shared" si="3"/>
        <v>0</v>
      </c>
      <c r="F31" s="79"/>
      <c r="H31" s="80"/>
      <c r="M31" s="37">
        <v>0</v>
      </c>
      <c r="N31" s="37"/>
    </row>
    <row r="32" spans="1:14" x14ac:dyDescent="0.3">
      <c r="A32" s="81">
        <v>2043</v>
      </c>
      <c r="B32" s="79">
        <f t="shared" si="0"/>
        <v>0</v>
      </c>
      <c r="C32" s="79">
        <f t="shared" si="1"/>
        <v>0</v>
      </c>
      <c r="D32" s="79">
        <f t="shared" si="2"/>
        <v>0</v>
      </c>
      <c r="E32" s="79">
        <f t="shared" si="3"/>
        <v>14328.16707784979</v>
      </c>
      <c r="F32" s="79"/>
      <c r="H32" s="80"/>
      <c r="M32" s="37">
        <f>30000</f>
        <v>30000</v>
      </c>
      <c r="N32" s="37"/>
    </row>
    <row r="33" spans="1:14" x14ac:dyDescent="0.3">
      <c r="A33" s="81">
        <v>2044</v>
      </c>
      <c r="B33" s="79">
        <f t="shared" si="0"/>
        <v>0</v>
      </c>
      <c r="C33" s="79">
        <f t="shared" si="1"/>
        <v>0</v>
      </c>
      <c r="D33" s="79">
        <f t="shared" si="2"/>
        <v>0</v>
      </c>
      <c r="E33" s="79">
        <f t="shared" si="3"/>
        <v>0</v>
      </c>
      <c r="F33" s="79"/>
      <c r="H33" s="80"/>
      <c r="M33" s="37">
        <v>0</v>
      </c>
      <c r="N33" s="37"/>
    </row>
    <row r="34" spans="1:14" x14ac:dyDescent="0.3">
      <c r="A34" s="81">
        <v>2045</v>
      </c>
      <c r="B34" s="79">
        <f t="shared" si="0"/>
        <v>0</v>
      </c>
      <c r="C34" s="79">
        <f t="shared" si="1"/>
        <v>0</v>
      </c>
      <c r="D34" s="79">
        <f t="shared" si="2"/>
        <v>0</v>
      </c>
      <c r="E34" s="79">
        <f t="shared" si="3"/>
        <v>0</v>
      </c>
      <c r="F34" s="79"/>
      <c r="H34" s="80"/>
      <c r="M34" s="37">
        <v>0</v>
      </c>
      <c r="N34" s="37"/>
    </row>
    <row r="35" spans="1:14" x14ac:dyDescent="0.3">
      <c r="A35" s="81">
        <v>2046</v>
      </c>
      <c r="B35" s="79">
        <f t="shared" si="0"/>
        <v>0</v>
      </c>
      <c r="C35" s="79">
        <f t="shared" si="1"/>
        <v>0</v>
      </c>
      <c r="D35" s="79">
        <f t="shared" si="2"/>
        <v>0</v>
      </c>
      <c r="E35" s="79">
        <f t="shared" si="3"/>
        <v>13112.302595112767</v>
      </c>
      <c r="F35" s="79"/>
      <c r="H35" s="80"/>
      <c r="M35" s="37">
        <f>30000</f>
        <v>30000</v>
      </c>
      <c r="N35" s="37"/>
    </row>
    <row r="36" spans="1:14" x14ac:dyDescent="0.3">
      <c r="A36" s="81">
        <v>2047</v>
      </c>
      <c r="B36" s="79">
        <f t="shared" si="0"/>
        <v>0</v>
      </c>
      <c r="C36" s="79">
        <f t="shared" si="1"/>
        <v>0</v>
      </c>
      <c r="D36" s="79">
        <f t="shared" si="2"/>
        <v>0</v>
      </c>
      <c r="E36" s="79">
        <f t="shared" si="3"/>
        <v>0</v>
      </c>
      <c r="F36" s="79"/>
      <c r="H36" s="80"/>
      <c r="M36" s="37">
        <v>0</v>
      </c>
      <c r="N36" s="37"/>
    </row>
    <row r="37" spans="1:14" x14ac:dyDescent="0.3">
      <c r="A37" s="81">
        <v>2048</v>
      </c>
      <c r="B37" s="79">
        <f t="shared" si="0"/>
        <v>0</v>
      </c>
      <c r="C37" s="79">
        <f t="shared" si="1"/>
        <v>0</v>
      </c>
      <c r="D37" s="79">
        <f t="shared" si="2"/>
        <v>0</v>
      </c>
      <c r="E37" s="79">
        <f t="shared" si="3"/>
        <v>0</v>
      </c>
      <c r="F37" s="79"/>
      <c r="H37" s="80"/>
      <c r="M37" s="37">
        <v>0</v>
      </c>
      <c r="N37" s="37"/>
    </row>
    <row r="38" spans="1:14" x14ac:dyDescent="0.3">
      <c r="A38" s="81">
        <v>2049</v>
      </c>
      <c r="B38" s="79">
        <f t="shared" si="0"/>
        <v>0</v>
      </c>
      <c r="C38" s="79">
        <f t="shared" si="1"/>
        <v>0</v>
      </c>
      <c r="D38" s="79">
        <f t="shared" si="2"/>
        <v>0</v>
      </c>
      <c r="E38" s="79">
        <f t="shared" si="3"/>
        <v>15999.485806442983</v>
      </c>
      <c r="F38" s="79"/>
      <c r="H38" s="80"/>
      <c r="M38" s="37">
        <f>40000</f>
        <v>40000</v>
      </c>
      <c r="N38" s="37"/>
    </row>
    <row r="39" spans="1:14" x14ac:dyDescent="0.3">
      <c r="A39" s="81">
        <v>2050</v>
      </c>
      <c r="B39" s="79">
        <f t="shared" ref="B39:B41" si="4">(J39)*(1/((1+$C$62)^($A39-2018)))</f>
        <v>0</v>
      </c>
      <c r="C39" s="79">
        <f t="shared" ref="C39:C41" si="5">(K39)*(1/((1+$C$62)^($A39-2018)))</f>
        <v>0</v>
      </c>
      <c r="D39" s="79">
        <f t="shared" ref="D39:D41" si="6">(L39)*(1/((1+$C$62)^($A39-2018)))</f>
        <v>0</v>
      </c>
      <c r="E39" s="79">
        <f t="shared" ref="E39:F41" si="7">(M39)*(1/((1+$C$62)^($A39-2018)))</f>
        <v>0</v>
      </c>
      <c r="F39" s="79"/>
      <c r="H39" s="80"/>
      <c r="M39" s="37">
        <v>0</v>
      </c>
      <c r="N39" s="37"/>
    </row>
    <row r="40" spans="1:14" x14ac:dyDescent="0.3">
      <c r="A40" s="81">
        <v>2051</v>
      </c>
      <c r="B40" s="79">
        <f t="shared" si="4"/>
        <v>0</v>
      </c>
      <c r="C40" s="79">
        <f t="shared" si="5"/>
        <v>0</v>
      </c>
      <c r="D40" s="79">
        <f t="shared" si="6"/>
        <v>0</v>
      </c>
      <c r="E40" s="79">
        <f t="shared" si="7"/>
        <v>0</v>
      </c>
      <c r="F40" s="79"/>
      <c r="H40" s="80"/>
      <c r="M40" s="37">
        <v>0</v>
      </c>
      <c r="N40" s="37"/>
    </row>
    <row r="41" spans="1:14" x14ac:dyDescent="0.3">
      <c r="A41" s="81">
        <v>2052</v>
      </c>
      <c r="B41" s="79">
        <f t="shared" si="4"/>
        <v>0</v>
      </c>
      <c r="C41" s="79">
        <f t="shared" si="5"/>
        <v>0</v>
      </c>
      <c r="D41" s="79">
        <f t="shared" si="6"/>
        <v>0</v>
      </c>
      <c r="E41" s="79">
        <f t="shared" si="7"/>
        <v>14641.795989705561</v>
      </c>
      <c r="F41" s="79">
        <f t="shared" si="7"/>
        <v>7401427.8727961611</v>
      </c>
      <c r="H41" s="80"/>
      <c r="M41" s="37">
        <f>40000</f>
        <v>40000</v>
      </c>
      <c r="N41" s="37">
        <f>SUM(J7:L11)*(30/50)</f>
        <v>20220000</v>
      </c>
    </row>
    <row r="42" spans="1:14" x14ac:dyDescent="0.3">
      <c r="A42" s="81"/>
      <c r="B42" s="79"/>
      <c r="C42" s="79"/>
      <c r="D42" s="79"/>
      <c r="E42" s="79"/>
      <c r="F42" s="79"/>
      <c r="H42" s="80"/>
      <c r="M42" s="37"/>
      <c r="N42" s="37"/>
    </row>
    <row r="43" spans="1:14" x14ac:dyDescent="0.3">
      <c r="A43" s="81"/>
      <c r="B43" s="79"/>
      <c r="C43" s="79"/>
      <c r="D43" s="79"/>
      <c r="E43" s="79"/>
      <c r="F43" s="79"/>
      <c r="H43" s="80"/>
      <c r="M43" s="37"/>
      <c r="N43" s="37"/>
    </row>
    <row r="44" spans="1:14" x14ac:dyDescent="0.3">
      <c r="A44" s="81"/>
      <c r="B44" s="79"/>
      <c r="C44" s="79"/>
      <c r="D44" s="79"/>
      <c r="E44" s="79"/>
      <c r="F44" s="79"/>
      <c r="H44" s="80"/>
      <c r="M44" s="37"/>
      <c r="N44" s="37"/>
    </row>
    <row r="45" spans="1:14" x14ac:dyDescent="0.3">
      <c r="A45" s="81"/>
      <c r="B45" s="79"/>
      <c r="C45" s="79"/>
      <c r="D45" s="79"/>
      <c r="E45" s="79"/>
      <c r="F45" s="79"/>
      <c r="H45" s="80"/>
      <c r="M45" s="37"/>
      <c r="N45" s="37"/>
    </row>
    <row r="46" spans="1:14" x14ac:dyDescent="0.3">
      <c r="A46" s="81"/>
      <c r="B46" s="79"/>
      <c r="C46" s="79"/>
      <c r="D46" s="79"/>
      <c r="E46" s="79"/>
      <c r="F46" s="79"/>
      <c r="H46" s="80"/>
      <c r="M46" s="37"/>
      <c r="N46" s="37"/>
    </row>
    <row r="47" spans="1:14" x14ac:dyDescent="0.3">
      <c r="A47" s="81"/>
      <c r="B47" s="79"/>
      <c r="C47" s="79"/>
      <c r="D47" s="79"/>
      <c r="E47" s="79"/>
      <c r="F47" s="79"/>
      <c r="H47" s="80"/>
      <c r="M47" s="37"/>
      <c r="N47" s="37"/>
    </row>
    <row r="48" spans="1:14" x14ac:dyDescent="0.3">
      <c r="A48" s="81"/>
      <c r="B48" s="79"/>
      <c r="C48" s="79"/>
      <c r="D48" s="79"/>
      <c r="E48" s="79"/>
      <c r="F48" s="79"/>
      <c r="H48" s="80"/>
      <c r="M48" s="37"/>
      <c r="N48" s="37"/>
    </row>
    <row r="49" spans="1:14" x14ac:dyDescent="0.3">
      <c r="A49" s="81"/>
      <c r="B49" s="79"/>
      <c r="C49" s="79"/>
      <c r="D49" s="79"/>
      <c r="E49" s="79"/>
      <c r="F49" s="79"/>
      <c r="H49" s="80"/>
      <c r="M49" s="37"/>
      <c r="N49" s="37"/>
    </row>
    <row r="50" spans="1:14" x14ac:dyDescent="0.3">
      <c r="A50" s="81"/>
      <c r="B50" s="79"/>
      <c r="C50" s="79"/>
      <c r="D50" s="79"/>
      <c r="E50" s="79"/>
      <c r="F50" s="79"/>
      <c r="H50" s="80"/>
      <c r="M50" s="37"/>
      <c r="N50" s="37"/>
    </row>
    <row r="51" spans="1:14" x14ac:dyDescent="0.3">
      <c r="A51" s="81"/>
      <c r="B51" s="79"/>
      <c r="C51" s="79"/>
      <c r="D51" s="79"/>
      <c r="E51" s="79"/>
      <c r="F51" s="79"/>
      <c r="H51" s="80"/>
      <c r="M51" s="37"/>
      <c r="N51" s="37"/>
    </row>
    <row r="52" spans="1:14" x14ac:dyDescent="0.3">
      <c r="A52" s="81"/>
      <c r="B52" s="79"/>
      <c r="C52" s="79"/>
      <c r="D52" s="79"/>
      <c r="E52" s="79"/>
      <c r="F52" s="79"/>
      <c r="H52" s="80"/>
      <c r="M52" s="37"/>
      <c r="N52" s="37"/>
    </row>
    <row r="53" spans="1:14" x14ac:dyDescent="0.3">
      <c r="A53" s="81"/>
      <c r="B53" s="79"/>
      <c r="C53" s="79"/>
      <c r="D53" s="79"/>
      <c r="E53" s="79"/>
      <c r="F53" s="79"/>
      <c r="H53" s="80"/>
      <c r="M53" s="37"/>
      <c r="N53" s="37"/>
    </row>
    <row r="54" spans="1:14" x14ac:dyDescent="0.3">
      <c r="A54" s="81"/>
      <c r="B54" s="79"/>
      <c r="C54" s="79"/>
      <c r="D54" s="79"/>
      <c r="E54" s="79"/>
      <c r="F54" s="79"/>
      <c r="H54" s="80"/>
      <c r="M54" s="37"/>
      <c r="N54" s="37"/>
    </row>
    <row r="55" spans="1:14" x14ac:dyDescent="0.3">
      <c r="A55" s="81"/>
      <c r="B55" s="79"/>
      <c r="C55" s="79"/>
      <c r="D55" s="79"/>
      <c r="E55" s="79"/>
      <c r="F55" s="79"/>
      <c r="H55" s="80"/>
      <c r="M55" s="37"/>
      <c r="N55" s="37"/>
    </row>
    <row r="56" spans="1:14" x14ac:dyDescent="0.3">
      <c r="A56" s="81"/>
      <c r="B56" s="79"/>
      <c r="C56" s="79"/>
      <c r="D56" s="79"/>
      <c r="E56" s="79"/>
      <c r="F56" s="79"/>
      <c r="H56" s="80"/>
      <c r="M56" s="37"/>
      <c r="N56" s="37"/>
    </row>
    <row r="57" spans="1:14" x14ac:dyDescent="0.3">
      <c r="A57" s="81"/>
      <c r="B57" s="79"/>
      <c r="C57" s="79"/>
      <c r="D57" s="79"/>
      <c r="E57" s="79"/>
      <c r="F57" s="79"/>
      <c r="H57" s="80"/>
      <c r="M57" s="37"/>
      <c r="N57" s="37"/>
    </row>
    <row r="58" spans="1:14" x14ac:dyDescent="0.3">
      <c r="A58" s="81"/>
      <c r="B58" s="79"/>
      <c r="C58" s="79"/>
      <c r="D58" s="79"/>
      <c r="E58" s="79"/>
      <c r="F58" s="79"/>
      <c r="H58" s="80"/>
      <c r="M58" s="37"/>
      <c r="N58" s="37"/>
    </row>
    <row r="59" spans="1:14" x14ac:dyDescent="0.3">
      <c r="A59" s="81"/>
      <c r="B59" s="79"/>
      <c r="C59" s="79"/>
      <c r="D59" s="79"/>
      <c r="E59" s="79"/>
      <c r="F59" s="79"/>
      <c r="H59" s="80"/>
      <c r="M59" s="37"/>
      <c r="N59" s="37"/>
    </row>
    <row r="60" spans="1:14" x14ac:dyDescent="0.3">
      <c r="A60" s="81"/>
      <c r="B60" s="79"/>
      <c r="C60" s="79"/>
      <c r="D60" s="79"/>
      <c r="E60" s="79"/>
      <c r="F60" s="79"/>
      <c r="H60" s="80"/>
      <c r="M60" s="37"/>
      <c r="N60" s="37"/>
    </row>
    <row r="61" spans="1:14" ht="15" thickBot="1" x14ac:dyDescent="0.35">
      <c r="A61" s="82"/>
      <c r="B61" s="83"/>
      <c r="C61" s="83"/>
      <c r="D61" s="83"/>
      <c r="E61" s="83"/>
      <c r="F61" s="83"/>
      <c r="G61" s="82"/>
      <c r="H61" s="59"/>
      <c r="I61" s="82"/>
      <c r="J61" s="82"/>
      <c r="K61" s="82"/>
      <c r="L61" s="82"/>
      <c r="M61" s="38"/>
      <c r="N61" s="38"/>
    </row>
    <row r="62" spans="1:14" x14ac:dyDescent="0.3">
      <c r="A62" s="39" t="s">
        <v>14</v>
      </c>
      <c r="C62" s="84">
        <v>0.03</v>
      </c>
    </row>
    <row r="63" spans="1:14" x14ac:dyDescent="0.3">
      <c r="A63" s="39" t="s">
        <v>15</v>
      </c>
    </row>
    <row r="64" spans="1:14" x14ac:dyDescent="0.3">
      <c r="A64" s="39" t="s">
        <v>16</v>
      </c>
    </row>
    <row r="65" spans="1:1" x14ac:dyDescent="0.3">
      <c r="A65" s="39" t="s">
        <v>18</v>
      </c>
    </row>
    <row r="66" spans="1:1" x14ac:dyDescent="0.3">
      <c r="A66" s="39" t="s">
        <v>17</v>
      </c>
    </row>
    <row r="67" spans="1:1" x14ac:dyDescent="0.3">
      <c r="A67" s="39" t="s">
        <v>186</v>
      </c>
    </row>
    <row r="69" spans="1:1" x14ac:dyDescent="0.3">
      <c r="A69" s="85" t="s">
        <v>60</v>
      </c>
    </row>
    <row r="70" spans="1:1" x14ac:dyDescent="0.3">
      <c r="A70" s="39" t="s">
        <v>61</v>
      </c>
    </row>
  </sheetData>
  <mergeCells count="2">
    <mergeCell ref="B4:F4"/>
    <mergeCell ref="J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7"/>
  <sheetViews>
    <sheetView workbookViewId="0">
      <selection sqref="A1:XFD1048576"/>
    </sheetView>
  </sheetViews>
  <sheetFormatPr defaultColWidth="9.109375" defaultRowHeight="14.4" x14ac:dyDescent="0.3"/>
  <cols>
    <col min="1" max="1" width="9.109375" style="39"/>
    <col min="2" max="5" width="12.88671875" style="39" customWidth="1"/>
    <col min="6" max="6" width="3" style="39" customWidth="1"/>
    <col min="7" max="7" width="3" style="53" customWidth="1"/>
    <col min="8" max="8" width="3" style="39" customWidth="1"/>
    <col min="9" max="10" width="9.33203125" style="39" bestFit="1" customWidth="1"/>
    <col min="11" max="11" width="11.6640625" style="39" bestFit="1" customWidth="1"/>
    <col min="12" max="12" width="9.33203125" style="39" bestFit="1" customWidth="1"/>
    <col min="13" max="19" width="9.109375" style="39"/>
    <col min="20" max="20" width="11.6640625" style="39" bestFit="1" customWidth="1"/>
    <col min="21" max="25" width="9.109375" style="39"/>
    <col min="26" max="26" width="11.88671875" style="39" customWidth="1"/>
    <col min="27" max="16384" width="9.109375" style="39"/>
  </cols>
  <sheetData>
    <row r="2" spans="1:12" x14ac:dyDescent="0.3">
      <c r="A2" s="39" t="s">
        <v>41</v>
      </c>
    </row>
    <row r="5" spans="1:12" ht="16.2" thickBot="1" x14ac:dyDescent="0.35">
      <c r="A5" s="57" t="s">
        <v>40</v>
      </c>
      <c r="B5" s="58"/>
      <c r="C5" s="58"/>
      <c r="D5" s="58"/>
      <c r="E5" s="58"/>
      <c r="F5" s="58"/>
      <c r="G5" s="59"/>
      <c r="H5" s="58"/>
      <c r="I5" s="58"/>
      <c r="J5" s="58"/>
      <c r="K5" s="58"/>
      <c r="L5" s="58"/>
    </row>
    <row r="6" spans="1:12" x14ac:dyDescent="0.3">
      <c r="A6" s="61"/>
      <c r="B6" s="135" t="s">
        <v>3</v>
      </c>
      <c r="C6" s="135"/>
      <c r="D6" s="135"/>
      <c r="E6" s="135"/>
      <c r="F6" s="62"/>
      <c r="G6" s="63"/>
      <c r="H6" s="64"/>
      <c r="I6" s="134" t="s">
        <v>12</v>
      </c>
      <c r="J6" s="134"/>
      <c r="K6" s="134"/>
      <c r="L6" s="134"/>
    </row>
    <row r="7" spans="1:12" ht="15" thickBot="1" x14ac:dyDescent="0.35">
      <c r="A7" s="65" t="s">
        <v>4</v>
      </c>
      <c r="B7" s="65" t="s">
        <v>5</v>
      </c>
      <c r="C7" s="65" t="s">
        <v>6</v>
      </c>
      <c r="D7" s="65" t="s">
        <v>7</v>
      </c>
      <c r="E7" s="66" t="s">
        <v>8</v>
      </c>
      <c r="F7" s="66"/>
      <c r="G7" s="67"/>
      <c r="H7" s="68"/>
      <c r="I7" s="69" t="s">
        <v>9</v>
      </c>
      <c r="J7" s="69" t="s">
        <v>0</v>
      </c>
      <c r="K7" s="69" t="s">
        <v>10</v>
      </c>
      <c r="L7" s="70" t="s">
        <v>11</v>
      </c>
    </row>
    <row r="8" spans="1:12" ht="15" thickBot="1" x14ac:dyDescent="0.35">
      <c r="A8" s="72" t="s">
        <v>13</v>
      </c>
      <c r="B8" s="73">
        <f>SUM(B9:B63)</f>
        <v>0</v>
      </c>
      <c r="C8" s="73">
        <f t="shared" ref="C8:E8" si="0">SUM(C9:C63)</f>
        <v>0</v>
      </c>
      <c r="D8" s="73">
        <f t="shared" si="0"/>
        <v>1078936.1766002516</v>
      </c>
      <c r="E8" s="73">
        <f t="shared" si="0"/>
        <v>702888.7137503284</v>
      </c>
      <c r="F8" s="74"/>
      <c r="G8" s="75"/>
      <c r="H8" s="76"/>
      <c r="I8" s="77"/>
      <c r="J8" s="77"/>
      <c r="K8" s="77"/>
      <c r="L8" s="78"/>
    </row>
    <row r="9" spans="1:12" x14ac:dyDescent="0.3">
      <c r="A9" s="39">
        <v>2018</v>
      </c>
      <c r="B9" s="79">
        <f t="shared" ref="B9:B40" si="1">(I9)*(1/((1+$C$64)^($A9-2018)))</f>
        <v>0</v>
      </c>
      <c r="C9" s="79">
        <f t="shared" ref="C9:C40" si="2">(J9)*(1/((1+$C$64)^($A9-2018)))</f>
        <v>0</v>
      </c>
      <c r="D9" s="79">
        <f t="shared" ref="D9:D40" si="3">(K9)*(1/((1+$C$64)^($A9-2018)))</f>
        <v>0</v>
      </c>
      <c r="E9" s="79">
        <f t="shared" ref="E9:E40" si="4">(L9)*(1/((1+$C$64)^($A9-2018)))</f>
        <v>80000</v>
      </c>
      <c r="G9" s="80"/>
      <c r="I9" s="37"/>
      <c r="J9" s="37"/>
      <c r="K9" s="37"/>
      <c r="L9" s="37">
        <f>(400000/5)</f>
        <v>80000</v>
      </c>
    </row>
    <row r="10" spans="1:12" x14ac:dyDescent="0.3">
      <c r="A10" s="81">
        <v>2019</v>
      </c>
      <c r="B10" s="79">
        <f t="shared" si="1"/>
        <v>0</v>
      </c>
      <c r="C10" s="79">
        <f t="shared" si="2"/>
        <v>0</v>
      </c>
      <c r="D10" s="79">
        <f t="shared" si="3"/>
        <v>0</v>
      </c>
      <c r="E10" s="79">
        <f t="shared" si="4"/>
        <v>77669.902912621357</v>
      </c>
      <c r="G10" s="80"/>
      <c r="I10" s="37"/>
      <c r="J10" s="37"/>
      <c r="K10" s="37"/>
      <c r="L10" s="37">
        <f>L9</f>
        <v>80000</v>
      </c>
    </row>
    <row r="11" spans="1:12" x14ac:dyDescent="0.3">
      <c r="A11" s="81">
        <v>2020</v>
      </c>
      <c r="B11" s="79">
        <f t="shared" si="1"/>
        <v>0</v>
      </c>
      <c r="C11" s="79">
        <f t="shared" si="2"/>
        <v>0</v>
      </c>
      <c r="D11" s="79">
        <f t="shared" si="3"/>
        <v>0</v>
      </c>
      <c r="E11" s="79">
        <f t="shared" si="4"/>
        <v>75407.672730700346</v>
      </c>
      <c r="G11" s="80"/>
      <c r="I11" s="37"/>
      <c r="J11" s="37"/>
      <c r="K11" s="37"/>
      <c r="L11" s="37">
        <f>L9</f>
        <v>80000</v>
      </c>
    </row>
    <row r="12" spans="1:12" x14ac:dyDescent="0.3">
      <c r="A12" s="81">
        <v>2021</v>
      </c>
      <c r="B12" s="79">
        <f t="shared" si="1"/>
        <v>0</v>
      </c>
      <c r="C12" s="79">
        <f t="shared" si="2"/>
        <v>0</v>
      </c>
      <c r="D12" s="79">
        <f t="shared" si="3"/>
        <v>0</v>
      </c>
      <c r="E12" s="79">
        <f t="shared" si="4"/>
        <v>73211.332748252767</v>
      </c>
      <c r="G12" s="80"/>
      <c r="I12" s="37"/>
      <c r="J12" s="37"/>
      <c r="K12" s="37"/>
      <c r="L12" s="37">
        <f>L9</f>
        <v>80000</v>
      </c>
    </row>
    <row r="13" spans="1:12" x14ac:dyDescent="0.3">
      <c r="A13" s="81">
        <v>2022</v>
      </c>
      <c r="B13" s="79">
        <f t="shared" si="1"/>
        <v>0</v>
      </c>
      <c r="C13" s="79">
        <f t="shared" si="2"/>
        <v>0</v>
      </c>
      <c r="D13" s="79">
        <f t="shared" si="3"/>
        <v>0</v>
      </c>
      <c r="E13" s="79">
        <f t="shared" si="4"/>
        <v>71078.963833255126</v>
      </c>
      <c r="G13" s="80"/>
      <c r="I13" s="37"/>
      <c r="J13" s="37"/>
      <c r="K13" s="37"/>
      <c r="L13" s="37">
        <f>L9</f>
        <v>80000</v>
      </c>
    </row>
    <row r="14" spans="1:12" x14ac:dyDescent="0.3">
      <c r="A14" s="81">
        <v>2023</v>
      </c>
      <c r="B14" s="79">
        <f t="shared" si="1"/>
        <v>0</v>
      </c>
      <c r="C14" s="79">
        <f t="shared" si="2"/>
        <v>0</v>
      </c>
      <c r="D14" s="79">
        <f t="shared" si="3"/>
        <v>0</v>
      </c>
      <c r="E14" s="79">
        <f t="shared" si="4"/>
        <v>69008.702750733122</v>
      </c>
      <c r="G14" s="80"/>
      <c r="L14" s="37">
        <f>L9</f>
        <v>80000</v>
      </c>
    </row>
    <row r="15" spans="1:12" x14ac:dyDescent="0.3">
      <c r="A15" s="81">
        <v>2024</v>
      </c>
      <c r="B15" s="79">
        <f t="shared" si="1"/>
        <v>0</v>
      </c>
      <c r="C15" s="79">
        <f t="shared" si="2"/>
        <v>0</v>
      </c>
      <c r="D15" s="79">
        <f t="shared" si="3"/>
        <v>0</v>
      </c>
      <c r="E15" s="79">
        <f t="shared" si="4"/>
        <v>66998.740534692362</v>
      </c>
      <c r="G15" s="80"/>
      <c r="L15" s="37">
        <f>L9</f>
        <v>80000</v>
      </c>
    </row>
    <row r="16" spans="1:12" x14ac:dyDescent="0.3">
      <c r="A16" s="81">
        <v>2025</v>
      </c>
      <c r="B16" s="79">
        <f t="shared" si="1"/>
        <v>0</v>
      </c>
      <c r="C16" s="79">
        <f t="shared" si="2"/>
        <v>0</v>
      </c>
      <c r="D16" s="79">
        <f t="shared" si="3"/>
        <v>0</v>
      </c>
      <c r="E16" s="79">
        <f t="shared" si="4"/>
        <v>65047.320907468304</v>
      </c>
      <c r="G16" s="80"/>
      <c r="L16" s="37">
        <f>L9</f>
        <v>80000</v>
      </c>
    </row>
    <row r="17" spans="1:13" x14ac:dyDescent="0.3">
      <c r="A17" s="81">
        <v>2026</v>
      </c>
      <c r="B17" s="79">
        <f t="shared" si="1"/>
        <v>0</v>
      </c>
      <c r="C17" s="79">
        <f t="shared" si="2"/>
        <v>0</v>
      </c>
      <c r="D17" s="79">
        <f t="shared" si="3"/>
        <v>0</v>
      </c>
      <c r="E17" s="79">
        <f t="shared" si="4"/>
        <v>63152.738745114861</v>
      </c>
      <c r="G17" s="80"/>
      <c r="L17" s="37">
        <f>L9</f>
        <v>80000</v>
      </c>
    </row>
    <row r="18" spans="1:13" x14ac:dyDescent="0.3">
      <c r="A18" s="81">
        <v>2027</v>
      </c>
      <c r="B18" s="79">
        <f t="shared" si="1"/>
        <v>0</v>
      </c>
      <c r="C18" s="79">
        <f t="shared" si="2"/>
        <v>0</v>
      </c>
      <c r="D18" s="79">
        <f t="shared" si="3"/>
        <v>0</v>
      </c>
      <c r="E18" s="79">
        <f t="shared" si="4"/>
        <v>61313.338587490158</v>
      </c>
      <c r="G18" s="80"/>
      <c r="L18" s="37">
        <f>L9</f>
        <v>80000</v>
      </c>
    </row>
    <row r="19" spans="1:13" x14ac:dyDescent="0.3">
      <c r="A19" s="81">
        <v>2028</v>
      </c>
      <c r="B19" s="79">
        <f t="shared" si="1"/>
        <v>0</v>
      </c>
      <c r="C19" s="79">
        <f t="shared" si="2"/>
        <v>0</v>
      </c>
      <c r="D19" s="79">
        <f t="shared" si="3"/>
        <v>1078936.1766002516</v>
      </c>
      <c r="E19" s="79">
        <f t="shared" si="4"/>
        <v>0</v>
      </c>
      <c r="G19" s="80"/>
      <c r="K19" s="40">
        <f>1450000</f>
        <v>1450000</v>
      </c>
      <c r="L19" s="37"/>
      <c r="M19" s="39" t="s">
        <v>42</v>
      </c>
    </row>
    <row r="20" spans="1:13" x14ac:dyDescent="0.3">
      <c r="A20" s="81">
        <v>2029</v>
      </c>
      <c r="B20" s="79">
        <f t="shared" si="1"/>
        <v>0</v>
      </c>
      <c r="C20" s="79">
        <f t="shared" si="2"/>
        <v>0</v>
      </c>
      <c r="D20" s="79">
        <f t="shared" si="3"/>
        <v>0</v>
      </c>
      <c r="E20" s="79">
        <f t="shared" si="4"/>
        <v>0</v>
      </c>
      <c r="G20" s="80"/>
      <c r="L20" s="37"/>
    </row>
    <row r="21" spans="1:13" x14ac:dyDescent="0.3">
      <c r="A21" s="81">
        <v>2030</v>
      </c>
      <c r="B21" s="79">
        <f t="shared" si="1"/>
        <v>0</v>
      </c>
      <c r="C21" s="79">
        <f t="shared" si="2"/>
        <v>0</v>
      </c>
      <c r="D21" s="79">
        <f t="shared" si="3"/>
        <v>0</v>
      </c>
      <c r="E21" s="79">
        <f t="shared" si="4"/>
        <v>0</v>
      </c>
      <c r="G21" s="80"/>
      <c r="L21" s="37"/>
    </row>
    <row r="22" spans="1:13" x14ac:dyDescent="0.3">
      <c r="A22" s="81">
        <v>2031</v>
      </c>
      <c r="B22" s="79">
        <f t="shared" si="1"/>
        <v>0</v>
      </c>
      <c r="C22" s="79">
        <f t="shared" si="2"/>
        <v>0</v>
      </c>
      <c r="D22" s="79">
        <f t="shared" si="3"/>
        <v>0</v>
      </c>
      <c r="E22" s="79">
        <f t="shared" si="4"/>
        <v>0</v>
      </c>
      <c r="G22" s="80"/>
      <c r="L22" s="37"/>
    </row>
    <row r="23" spans="1:13" x14ac:dyDescent="0.3">
      <c r="A23" s="81">
        <v>2032</v>
      </c>
      <c r="B23" s="79">
        <f t="shared" si="1"/>
        <v>0</v>
      </c>
      <c r="C23" s="79">
        <f t="shared" si="2"/>
        <v>0</v>
      </c>
      <c r="D23" s="79">
        <f t="shared" si="3"/>
        <v>0</v>
      </c>
      <c r="E23" s="79">
        <f t="shared" si="4"/>
        <v>0</v>
      </c>
      <c r="G23" s="80"/>
      <c r="L23" s="37"/>
    </row>
    <row r="24" spans="1:13" x14ac:dyDescent="0.3">
      <c r="A24" s="81">
        <v>2033</v>
      </c>
      <c r="B24" s="79">
        <f t="shared" si="1"/>
        <v>0</v>
      </c>
      <c r="C24" s="79">
        <f t="shared" si="2"/>
        <v>0</v>
      </c>
      <c r="D24" s="79">
        <f t="shared" si="3"/>
        <v>0</v>
      </c>
      <c r="E24" s="79">
        <f t="shared" si="4"/>
        <v>0</v>
      </c>
      <c r="G24" s="80"/>
      <c r="L24" s="37"/>
    </row>
    <row r="25" spans="1:13" x14ac:dyDescent="0.3">
      <c r="A25" s="81">
        <v>2034</v>
      </c>
      <c r="B25" s="79">
        <f t="shared" si="1"/>
        <v>0</v>
      </c>
      <c r="C25" s="79">
        <f t="shared" si="2"/>
        <v>0</v>
      </c>
      <c r="D25" s="79">
        <f t="shared" si="3"/>
        <v>0</v>
      </c>
      <c r="E25" s="79">
        <f t="shared" si="4"/>
        <v>0</v>
      </c>
      <c r="G25" s="80"/>
      <c r="L25" s="37"/>
    </row>
    <row r="26" spans="1:13" x14ac:dyDescent="0.3">
      <c r="A26" s="81">
        <v>2035</v>
      </c>
      <c r="B26" s="79">
        <f t="shared" si="1"/>
        <v>0</v>
      </c>
      <c r="C26" s="79">
        <f t="shared" si="2"/>
        <v>0</v>
      </c>
      <c r="D26" s="79">
        <f t="shared" si="3"/>
        <v>0</v>
      </c>
      <c r="E26" s="79">
        <f t="shared" si="4"/>
        <v>0</v>
      </c>
      <c r="G26" s="80"/>
      <c r="L26" s="37"/>
    </row>
    <row r="27" spans="1:13" x14ac:dyDescent="0.3">
      <c r="A27" s="81">
        <v>2036</v>
      </c>
      <c r="B27" s="79">
        <f t="shared" si="1"/>
        <v>0</v>
      </c>
      <c r="C27" s="79">
        <f t="shared" si="2"/>
        <v>0</v>
      </c>
      <c r="D27" s="79">
        <f t="shared" si="3"/>
        <v>0</v>
      </c>
      <c r="E27" s="79">
        <f t="shared" si="4"/>
        <v>0</v>
      </c>
      <c r="G27" s="80"/>
      <c r="L27" s="37"/>
    </row>
    <row r="28" spans="1:13" x14ac:dyDescent="0.3">
      <c r="A28" s="81">
        <v>2037</v>
      </c>
      <c r="B28" s="79">
        <f t="shared" si="1"/>
        <v>0</v>
      </c>
      <c r="C28" s="79">
        <f t="shared" si="2"/>
        <v>0</v>
      </c>
      <c r="D28" s="79">
        <f t="shared" si="3"/>
        <v>0</v>
      </c>
      <c r="E28" s="79">
        <f t="shared" si="4"/>
        <v>0</v>
      </c>
      <c r="G28" s="80"/>
      <c r="L28" s="37"/>
    </row>
    <row r="29" spans="1:13" x14ac:dyDescent="0.3">
      <c r="A29" s="81">
        <v>2038</v>
      </c>
      <c r="B29" s="79">
        <f t="shared" si="1"/>
        <v>0</v>
      </c>
      <c r="C29" s="79">
        <f t="shared" si="2"/>
        <v>0</v>
      </c>
      <c r="D29" s="79">
        <f t="shared" si="3"/>
        <v>0</v>
      </c>
      <c r="E29" s="79">
        <f t="shared" si="4"/>
        <v>0</v>
      </c>
      <c r="G29" s="80"/>
      <c r="L29" s="37"/>
    </row>
    <row r="30" spans="1:13" x14ac:dyDescent="0.3">
      <c r="A30" s="81">
        <v>2039</v>
      </c>
      <c r="B30" s="79">
        <f t="shared" si="1"/>
        <v>0</v>
      </c>
      <c r="C30" s="79">
        <f t="shared" si="2"/>
        <v>0</v>
      </c>
      <c r="D30" s="79">
        <f t="shared" si="3"/>
        <v>0</v>
      </c>
      <c r="E30" s="79">
        <f t="shared" si="4"/>
        <v>0</v>
      </c>
      <c r="G30" s="80"/>
      <c r="L30" s="37"/>
    </row>
    <row r="31" spans="1:13" x14ac:dyDescent="0.3">
      <c r="A31" s="81">
        <v>2040</v>
      </c>
      <c r="B31" s="79">
        <f t="shared" si="1"/>
        <v>0</v>
      </c>
      <c r="C31" s="79">
        <f t="shared" si="2"/>
        <v>0</v>
      </c>
      <c r="D31" s="79">
        <f t="shared" si="3"/>
        <v>0</v>
      </c>
      <c r="E31" s="79">
        <f t="shared" si="4"/>
        <v>0</v>
      </c>
      <c r="G31" s="80"/>
      <c r="L31" s="37"/>
    </row>
    <row r="32" spans="1:13" x14ac:dyDescent="0.3">
      <c r="A32" s="81">
        <v>2041</v>
      </c>
      <c r="B32" s="79">
        <f t="shared" si="1"/>
        <v>0</v>
      </c>
      <c r="C32" s="79">
        <f t="shared" si="2"/>
        <v>0</v>
      </c>
      <c r="D32" s="79">
        <f t="shared" si="3"/>
        <v>0</v>
      </c>
      <c r="E32" s="79">
        <f t="shared" si="4"/>
        <v>0</v>
      </c>
      <c r="G32" s="80"/>
      <c r="L32" s="37"/>
    </row>
    <row r="33" spans="1:12" x14ac:dyDescent="0.3">
      <c r="A33" s="81">
        <v>2042</v>
      </c>
      <c r="B33" s="79">
        <f t="shared" si="1"/>
        <v>0</v>
      </c>
      <c r="C33" s="79">
        <f t="shared" si="2"/>
        <v>0</v>
      </c>
      <c r="D33" s="79">
        <f t="shared" si="3"/>
        <v>0</v>
      </c>
      <c r="E33" s="79">
        <f t="shared" si="4"/>
        <v>0</v>
      </c>
      <c r="G33" s="80"/>
      <c r="L33" s="37"/>
    </row>
    <row r="34" spans="1:12" x14ac:dyDescent="0.3">
      <c r="A34" s="81">
        <v>2043</v>
      </c>
      <c r="B34" s="79">
        <f t="shared" si="1"/>
        <v>0</v>
      </c>
      <c r="C34" s="79">
        <f t="shared" si="2"/>
        <v>0</v>
      </c>
      <c r="D34" s="79">
        <f t="shared" si="3"/>
        <v>0</v>
      </c>
      <c r="E34" s="79">
        <f t="shared" si="4"/>
        <v>0</v>
      </c>
      <c r="G34" s="80"/>
      <c r="L34" s="37"/>
    </row>
    <row r="35" spans="1:12" x14ac:dyDescent="0.3">
      <c r="A35" s="81">
        <v>2044</v>
      </c>
      <c r="B35" s="79">
        <f t="shared" si="1"/>
        <v>0</v>
      </c>
      <c r="C35" s="79">
        <f t="shared" si="2"/>
        <v>0</v>
      </c>
      <c r="D35" s="79">
        <f t="shared" si="3"/>
        <v>0</v>
      </c>
      <c r="E35" s="79">
        <f t="shared" si="4"/>
        <v>0</v>
      </c>
      <c r="G35" s="80"/>
      <c r="L35" s="37"/>
    </row>
    <row r="36" spans="1:12" x14ac:dyDescent="0.3">
      <c r="A36" s="81">
        <v>2045</v>
      </c>
      <c r="B36" s="79">
        <f t="shared" si="1"/>
        <v>0</v>
      </c>
      <c r="C36" s="79">
        <f t="shared" si="2"/>
        <v>0</v>
      </c>
      <c r="D36" s="79">
        <f t="shared" si="3"/>
        <v>0</v>
      </c>
      <c r="E36" s="79">
        <f t="shared" si="4"/>
        <v>0</v>
      </c>
      <c r="G36" s="80"/>
      <c r="L36" s="37"/>
    </row>
    <row r="37" spans="1:12" x14ac:dyDescent="0.3">
      <c r="A37" s="81">
        <v>2046</v>
      </c>
      <c r="B37" s="79">
        <f t="shared" si="1"/>
        <v>0</v>
      </c>
      <c r="C37" s="79">
        <f t="shared" si="2"/>
        <v>0</v>
      </c>
      <c r="D37" s="79">
        <f t="shared" si="3"/>
        <v>0</v>
      </c>
      <c r="E37" s="79">
        <f t="shared" si="4"/>
        <v>0</v>
      </c>
      <c r="G37" s="80"/>
      <c r="L37" s="37"/>
    </row>
    <row r="38" spans="1:12" x14ac:dyDescent="0.3">
      <c r="A38" s="81">
        <v>2047</v>
      </c>
      <c r="B38" s="79">
        <f t="shared" si="1"/>
        <v>0</v>
      </c>
      <c r="C38" s="79">
        <f t="shared" si="2"/>
        <v>0</v>
      </c>
      <c r="D38" s="79">
        <f t="shared" si="3"/>
        <v>0</v>
      </c>
      <c r="E38" s="79">
        <f t="shared" si="4"/>
        <v>0</v>
      </c>
      <c r="G38" s="80"/>
      <c r="L38" s="37"/>
    </row>
    <row r="39" spans="1:12" x14ac:dyDescent="0.3">
      <c r="A39" s="81">
        <v>2048</v>
      </c>
      <c r="B39" s="79">
        <f t="shared" si="1"/>
        <v>0</v>
      </c>
      <c r="C39" s="79">
        <f t="shared" si="2"/>
        <v>0</v>
      </c>
      <c r="D39" s="79">
        <f t="shared" si="3"/>
        <v>0</v>
      </c>
      <c r="E39" s="79">
        <f t="shared" si="4"/>
        <v>0</v>
      </c>
      <c r="G39" s="80"/>
      <c r="L39" s="37"/>
    </row>
    <row r="40" spans="1:12" x14ac:dyDescent="0.3">
      <c r="A40" s="81">
        <v>2049</v>
      </c>
      <c r="B40" s="79">
        <f t="shared" si="1"/>
        <v>0</v>
      </c>
      <c r="C40" s="79">
        <f t="shared" si="2"/>
        <v>0</v>
      </c>
      <c r="D40" s="79">
        <f t="shared" si="3"/>
        <v>0</v>
      </c>
      <c r="E40" s="79">
        <f t="shared" si="4"/>
        <v>0</v>
      </c>
      <c r="G40" s="80"/>
      <c r="L40" s="37"/>
    </row>
    <row r="41" spans="1:12" x14ac:dyDescent="0.3">
      <c r="A41" s="81">
        <v>2050</v>
      </c>
      <c r="B41" s="79">
        <f t="shared" ref="B41:B43" si="5">(I41)*(1/((1+$C$64)^($A41-2018)))</f>
        <v>0</v>
      </c>
      <c r="C41" s="79">
        <f t="shared" ref="C41:C43" si="6">(J41)*(1/((1+$C$64)^($A41-2018)))</f>
        <v>0</v>
      </c>
      <c r="D41" s="79">
        <f t="shared" ref="D41:D43" si="7">(K41)*(1/((1+$C$64)^($A41-2018)))</f>
        <v>0</v>
      </c>
      <c r="E41" s="79">
        <f t="shared" ref="E41:E43" si="8">(L41)*(1/((1+$C$64)^($A41-2018)))</f>
        <v>0</v>
      </c>
      <c r="G41" s="80"/>
      <c r="L41" s="37"/>
    </row>
    <row r="42" spans="1:12" x14ac:dyDescent="0.3">
      <c r="A42" s="81">
        <v>2051</v>
      </c>
      <c r="B42" s="79">
        <f t="shared" si="5"/>
        <v>0</v>
      </c>
      <c r="C42" s="79">
        <f t="shared" si="6"/>
        <v>0</v>
      </c>
      <c r="D42" s="79">
        <f t="shared" si="7"/>
        <v>0</v>
      </c>
      <c r="E42" s="79">
        <f t="shared" si="8"/>
        <v>0</v>
      </c>
      <c r="G42" s="80"/>
      <c r="L42" s="37"/>
    </row>
    <row r="43" spans="1:12" x14ac:dyDescent="0.3">
      <c r="A43" s="81">
        <v>2052</v>
      </c>
      <c r="B43" s="79">
        <f t="shared" si="5"/>
        <v>0</v>
      </c>
      <c r="C43" s="79">
        <f t="shared" si="6"/>
        <v>0</v>
      </c>
      <c r="D43" s="79">
        <f t="shared" si="7"/>
        <v>0</v>
      </c>
      <c r="E43" s="79">
        <f t="shared" si="8"/>
        <v>0</v>
      </c>
      <c r="G43" s="80"/>
      <c r="L43" s="37"/>
    </row>
    <row r="44" spans="1:12" x14ac:dyDescent="0.3">
      <c r="A44" s="81"/>
      <c r="B44" s="79"/>
      <c r="C44" s="79"/>
      <c r="D44" s="79"/>
      <c r="E44" s="79"/>
      <c r="G44" s="80"/>
      <c r="L44" s="37"/>
    </row>
    <row r="45" spans="1:12" x14ac:dyDescent="0.3">
      <c r="A45" s="81"/>
      <c r="B45" s="79"/>
      <c r="C45" s="79"/>
      <c r="D45" s="79"/>
      <c r="E45" s="79"/>
      <c r="G45" s="80"/>
      <c r="L45" s="37"/>
    </row>
    <row r="46" spans="1:12" x14ac:dyDescent="0.3">
      <c r="A46" s="81"/>
      <c r="B46" s="79"/>
      <c r="C46" s="79"/>
      <c r="D46" s="79"/>
      <c r="E46" s="79"/>
      <c r="G46" s="80"/>
      <c r="L46" s="37"/>
    </row>
    <row r="47" spans="1:12" x14ac:dyDescent="0.3">
      <c r="A47" s="81"/>
      <c r="B47" s="79"/>
      <c r="C47" s="79"/>
      <c r="D47" s="79"/>
      <c r="E47" s="79"/>
      <c r="G47" s="80"/>
      <c r="L47" s="37"/>
    </row>
    <row r="48" spans="1:12" x14ac:dyDescent="0.3">
      <c r="A48" s="81"/>
      <c r="B48" s="79"/>
      <c r="C48" s="79"/>
      <c r="D48" s="79"/>
      <c r="E48" s="79"/>
      <c r="G48" s="80"/>
      <c r="L48" s="37"/>
    </row>
    <row r="49" spans="1:12" x14ac:dyDescent="0.3">
      <c r="A49" s="81"/>
      <c r="B49" s="79"/>
      <c r="C49" s="79"/>
      <c r="D49" s="79"/>
      <c r="E49" s="79"/>
      <c r="G49" s="80"/>
      <c r="L49" s="37"/>
    </row>
    <row r="50" spans="1:12" x14ac:dyDescent="0.3">
      <c r="A50" s="81"/>
      <c r="B50" s="79"/>
      <c r="C50" s="79"/>
      <c r="D50" s="79"/>
      <c r="E50" s="79"/>
      <c r="G50" s="80"/>
      <c r="L50" s="37"/>
    </row>
    <row r="51" spans="1:12" x14ac:dyDescent="0.3">
      <c r="A51" s="81"/>
      <c r="B51" s="79"/>
      <c r="C51" s="79"/>
      <c r="D51" s="79"/>
      <c r="E51" s="79"/>
      <c r="G51" s="80"/>
      <c r="L51" s="37"/>
    </row>
    <row r="52" spans="1:12" x14ac:dyDescent="0.3">
      <c r="A52" s="81"/>
      <c r="B52" s="79"/>
      <c r="C52" s="79"/>
      <c r="D52" s="79"/>
      <c r="E52" s="79"/>
      <c r="G52" s="80"/>
      <c r="L52" s="37"/>
    </row>
    <row r="53" spans="1:12" x14ac:dyDescent="0.3">
      <c r="A53" s="81"/>
      <c r="B53" s="79"/>
      <c r="C53" s="79"/>
      <c r="D53" s="79"/>
      <c r="E53" s="79"/>
      <c r="G53" s="80"/>
      <c r="L53" s="37"/>
    </row>
    <row r="54" spans="1:12" x14ac:dyDescent="0.3">
      <c r="A54" s="81"/>
      <c r="B54" s="79"/>
      <c r="C54" s="79"/>
      <c r="D54" s="79"/>
      <c r="E54" s="79"/>
      <c r="G54" s="80"/>
      <c r="L54" s="37"/>
    </row>
    <row r="55" spans="1:12" x14ac:dyDescent="0.3">
      <c r="A55" s="81"/>
      <c r="B55" s="79"/>
      <c r="C55" s="79"/>
      <c r="D55" s="79"/>
      <c r="E55" s="79"/>
      <c r="G55" s="80"/>
      <c r="L55" s="37"/>
    </row>
    <row r="56" spans="1:12" x14ac:dyDescent="0.3">
      <c r="A56" s="81"/>
      <c r="B56" s="79"/>
      <c r="C56" s="79"/>
      <c r="D56" s="79"/>
      <c r="E56" s="79"/>
      <c r="G56" s="80"/>
      <c r="L56" s="37"/>
    </row>
    <row r="57" spans="1:12" x14ac:dyDescent="0.3">
      <c r="A57" s="81"/>
      <c r="B57" s="79"/>
      <c r="C57" s="79"/>
      <c r="D57" s="79"/>
      <c r="E57" s="79"/>
      <c r="G57" s="80"/>
      <c r="L57" s="37"/>
    </row>
    <row r="58" spans="1:12" x14ac:dyDescent="0.3">
      <c r="A58" s="81"/>
      <c r="B58" s="79"/>
      <c r="C58" s="79"/>
      <c r="D58" s="79"/>
      <c r="E58" s="79"/>
      <c r="G58" s="80"/>
      <c r="L58" s="37"/>
    </row>
    <row r="59" spans="1:12" x14ac:dyDescent="0.3">
      <c r="A59" s="81"/>
      <c r="B59" s="79"/>
      <c r="C59" s="79"/>
      <c r="D59" s="79"/>
      <c r="E59" s="79"/>
      <c r="G59" s="80"/>
      <c r="L59" s="37"/>
    </row>
    <row r="60" spans="1:12" x14ac:dyDescent="0.3">
      <c r="A60" s="81"/>
      <c r="B60" s="79"/>
      <c r="C60" s="79"/>
      <c r="D60" s="79"/>
      <c r="E60" s="79"/>
      <c r="G60" s="80"/>
      <c r="L60" s="37"/>
    </row>
    <row r="61" spans="1:12" x14ac:dyDescent="0.3">
      <c r="A61" s="81"/>
      <c r="B61" s="79"/>
      <c r="C61" s="79"/>
      <c r="D61" s="79"/>
      <c r="E61" s="79"/>
      <c r="G61" s="80"/>
      <c r="L61" s="37"/>
    </row>
    <row r="62" spans="1:12" x14ac:dyDescent="0.3">
      <c r="A62" s="81"/>
      <c r="B62" s="79"/>
      <c r="C62" s="79"/>
      <c r="D62" s="79"/>
      <c r="E62" s="79"/>
      <c r="G62" s="80"/>
      <c r="L62" s="37"/>
    </row>
    <row r="63" spans="1:12" ht="15" thickBot="1" x14ac:dyDescent="0.35">
      <c r="A63" s="82"/>
      <c r="B63" s="83"/>
      <c r="C63" s="83"/>
      <c r="D63" s="83"/>
      <c r="E63" s="83"/>
      <c r="F63" s="82"/>
      <c r="G63" s="59"/>
      <c r="H63" s="82"/>
      <c r="I63" s="82"/>
      <c r="J63" s="82"/>
      <c r="K63" s="82"/>
      <c r="L63" s="38"/>
    </row>
    <row r="64" spans="1:12" x14ac:dyDescent="0.3">
      <c r="A64" s="39" t="s">
        <v>14</v>
      </c>
      <c r="C64" s="84">
        <v>0.03</v>
      </c>
    </row>
    <row r="65" spans="1:24" x14ac:dyDescent="0.3">
      <c r="A65" s="39" t="s">
        <v>15</v>
      </c>
    </row>
    <row r="66" spans="1:24" x14ac:dyDescent="0.3">
      <c r="A66" s="39" t="s">
        <v>16</v>
      </c>
    </row>
    <row r="67" spans="1:24" x14ac:dyDescent="0.3">
      <c r="A67" s="39" t="s">
        <v>18</v>
      </c>
    </row>
    <row r="68" spans="1:24" x14ac:dyDescent="0.3">
      <c r="A68" s="39" t="s">
        <v>17</v>
      </c>
    </row>
    <row r="70" spans="1:24" x14ac:dyDescent="0.3">
      <c r="A70" s="85" t="s">
        <v>60</v>
      </c>
    </row>
    <row r="71" spans="1:24" x14ac:dyDescent="0.3">
      <c r="A71" s="39" t="s">
        <v>61</v>
      </c>
    </row>
    <row r="73" spans="1:24" x14ac:dyDescent="0.3">
      <c r="W73" s="86"/>
    </row>
    <row r="75" spans="1:24" x14ac:dyDescent="0.3">
      <c r="V75" s="86"/>
    </row>
    <row r="76" spans="1:24" x14ac:dyDescent="0.3">
      <c r="W76" s="86"/>
    </row>
    <row r="77" spans="1:24" x14ac:dyDescent="0.3">
      <c r="X77" s="86"/>
    </row>
  </sheetData>
  <mergeCells count="2">
    <mergeCell ref="B6:E6"/>
    <mergeCell ref="I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94"/>
  <sheetViews>
    <sheetView workbookViewId="0">
      <selection activeCell="J23" sqref="J23"/>
    </sheetView>
  </sheetViews>
  <sheetFormatPr defaultColWidth="9.109375" defaultRowHeight="14.4" x14ac:dyDescent="0.3"/>
  <cols>
    <col min="1" max="1" width="9.109375" style="39"/>
    <col min="2" max="3" width="14.109375" style="39" customWidth="1"/>
    <col min="4" max="4" width="4.44140625" style="39" customWidth="1"/>
    <col min="5" max="6" width="3" style="39" customWidth="1"/>
    <col min="7" max="12" width="9.6640625" style="39" customWidth="1"/>
    <col min="13" max="13" width="12.44140625" style="39" customWidth="1"/>
    <col min="14" max="14" width="14.88671875" style="39" customWidth="1"/>
    <col min="15" max="17" width="9.109375" style="39"/>
    <col min="18" max="18" width="16.33203125" style="39" bestFit="1" customWidth="1"/>
    <col min="19" max="16384" width="9.109375" style="39"/>
  </cols>
  <sheetData>
    <row r="2" spans="1:18" x14ac:dyDescent="0.3">
      <c r="A2" s="39" t="s">
        <v>62</v>
      </c>
    </row>
    <row r="3" spans="1:18" x14ac:dyDescent="0.3">
      <c r="A3" s="39" t="s">
        <v>201</v>
      </c>
    </row>
    <row r="5" spans="1:18" x14ac:dyDescent="0.3">
      <c r="B5" s="39" t="s">
        <v>47</v>
      </c>
      <c r="I5" s="53">
        <v>820</v>
      </c>
      <c r="J5" s="39" t="s">
        <v>48</v>
      </c>
    </row>
    <row r="6" spans="1:18" x14ac:dyDescent="0.3">
      <c r="B6" s="39" t="s">
        <v>50</v>
      </c>
      <c r="I6" s="39">
        <v>250</v>
      </c>
      <c r="J6" s="39" t="s">
        <v>51</v>
      </c>
    </row>
    <row r="7" spans="1:18" x14ac:dyDescent="0.3">
      <c r="B7" s="39" t="s">
        <v>82</v>
      </c>
      <c r="I7" s="52">
        <f>100/8.7</f>
        <v>11.494252873563219</v>
      </c>
      <c r="J7" s="39" t="s">
        <v>83</v>
      </c>
    </row>
    <row r="8" spans="1:18" x14ac:dyDescent="0.3">
      <c r="B8" s="39" t="s">
        <v>52</v>
      </c>
      <c r="I8" s="39">
        <f>I5*I6*I7</f>
        <v>2356321.8390804599</v>
      </c>
      <c r="J8" s="39" t="s">
        <v>68</v>
      </c>
    </row>
    <row r="10" spans="1:18" x14ac:dyDescent="0.3">
      <c r="A10" s="39" t="s">
        <v>53</v>
      </c>
      <c r="I10" s="87">
        <v>0.01</v>
      </c>
    </row>
    <row r="11" spans="1:18" x14ac:dyDescent="0.3">
      <c r="A11" s="39" t="s">
        <v>202</v>
      </c>
    </row>
    <row r="13" spans="1:18" x14ac:dyDescent="0.3">
      <c r="A13" s="39" t="s">
        <v>70</v>
      </c>
      <c r="I13" s="39">
        <f>7.44/1000</f>
        <v>7.4400000000000004E-3</v>
      </c>
    </row>
    <row r="14" spans="1:18" x14ac:dyDescent="0.3">
      <c r="A14" s="39" t="s">
        <v>158</v>
      </c>
    </row>
    <row r="16" spans="1:18" x14ac:dyDescent="0.3">
      <c r="A16" s="39" t="s">
        <v>71</v>
      </c>
      <c r="I16" s="39">
        <v>17.899999999999999</v>
      </c>
      <c r="R16" s="79"/>
    </row>
    <row r="17" spans="1:14" x14ac:dyDescent="0.3">
      <c r="A17" s="39" t="s">
        <v>159</v>
      </c>
    </row>
    <row r="19" spans="1:14" ht="28.8" x14ac:dyDescent="0.3">
      <c r="H19" s="88" t="s">
        <v>77</v>
      </c>
      <c r="J19" s="39" t="s">
        <v>78</v>
      </c>
      <c r="L19" s="39" t="s">
        <v>79</v>
      </c>
    </row>
    <row r="20" spans="1:14" ht="16.2" x14ac:dyDescent="0.3">
      <c r="A20" s="39" t="s">
        <v>203</v>
      </c>
      <c r="H20" s="53">
        <v>1.034</v>
      </c>
      <c r="J20" s="39">
        <f>1905*1.1015</f>
        <v>2098.3575000000001</v>
      </c>
      <c r="L20" s="39">
        <f>H20*J20/1000000</f>
        <v>2.1697016550000004E-3</v>
      </c>
    </row>
    <row r="21" spans="1:14" ht="16.2" x14ac:dyDescent="0.3">
      <c r="A21" s="39" t="s">
        <v>204</v>
      </c>
      <c r="H21" s="53">
        <v>0.69299999999999995</v>
      </c>
      <c r="J21" s="39">
        <f>7508*1.1015</f>
        <v>8270.0619999999999</v>
      </c>
      <c r="L21" s="39">
        <f t="shared" ref="L21:L23" si="0">H21*J21/1000000</f>
        <v>5.7311529659999994E-3</v>
      </c>
    </row>
    <row r="22" spans="1:14" ht="16.2" x14ac:dyDescent="0.3">
      <c r="A22" s="39" t="s">
        <v>205</v>
      </c>
      <c r="H22" s="53">
        <v>4.3999999999999997E-2</v>
      </c>
      <c r="J22" s="39">
        <f>343442*1.1015</f>
        <v>378301.36299999995</v>
      </c>
      <c r="L22" s="39">
        <f t="shared" si="0"/>
        <v>1.6645259971999997E-2</v>
      </c>
    </row>
    <row r="23" spans="1:14" ht="16.2" x14ac:dyDescent="0.3">
      <c r="A23" s="39" t="s">
        <v>206</v>
      </c>
      <c r="H23" s="53">
        <v>1.2E-2</v>
      </c>
      <c r="J23" s="39">
        <f>44373*1.1015</f>
        <v>48876.859499999999</v>
      </c>
      <c r="L23" s="39">
        <f t="shared" si="0"/>
        <v>5.8652231400000007E-4</v>
      </c>
    </row>
    <row r="24" spans="1:14" x14ac:dyDescent="0.3">
      <c r="K24" s="39" t="s">
        <v>2</v>
      </c>
      <c r="L24" s="39">
        <f>SUM(L20:L23)</f>
        <v>2.5132636906999996E-2</v>
      </c>
    </row>
    <row r="25" spans="1:14" x14ac:dyDescent="0.3">
      <c r="A25" s="53" t="s">
        <v>169</v>
      </c>
    </row>
    <row r="26" spans="1:14" x14ac:dyDescent="0.3">
      <c r="A26" s="53" t="s">
        <v>170</v>
      </c>
      <c r="B26" s="89"/>
      <c r="C26" s="89"/>
    </row>
    <row r="27" spans="1:14" x14ac:dyDescent="0.3">
      <c r="A27" s="39" t="s">
        <v>160</v>
      </c>
    </row>
    <row r="30" spans="1:14" ht="16.2" thickBot="1" x14ac:dyDescent="0.35">
      <c r="A30" s="57" t="s">
        <v>43</v>
      </c>
      <c r="B30" s="57"/>
      <c r="C30" s="57"/>
      <c r="D30" s="57"/>
      <c r="E30" s="57"/>
      <c r="F30" s="57"/>
      <c r="G30" s="57"/>
      <c r="H30" s="58"/>
      <c r="I30" s="58"/>
      <c r="J30" s="58"/>
      <c r="K30" s="58"/>
      <c r="L30" s="58"/>
      <c r="M30" s="58"/>
      <c r="N30" s="58"/>
    </row>
    <row r="31" spans="1:14" ht="74.400000000000006" thickBot="1" x14ac:dyDescent="0.35">
      <c r="A31" s="72" t="s">
        <v>4</v>
      </c>
      <c r="B31" s="90" t="s">
        <v>207</v>
      </c>
      <c r="C31" s="91" t="s">
        <v>81</v>
      </c>
      <c r="D31" s="72"/>
      <c r="E31" s="75"/>
      <c r="F31" s="72"/>
      <c r="G31" s="92" t="s">
        <v>49</v>
      </c>
      <c r="H31" s="92" t="s">
        <v>208</v>
      </c>
      <c r="I31" s="92" t="s">
        <v>209</v>
      </c>
      <c r="J31" s="92" t="s">
        <v>45</v>
      </c>
      <c r="K31" s="92" t="s">
        <v>210</v>
      </c>
      <c r="L31" s="92" t="s">
        <v>211</v>
      </c>
      <c r="M31" s="92" t="s">
        <v>76</v>
      </c>
      <c r="N31" s="91" t="s">
        <v>80</v>
      </c>
    </row>
    <row r="32" spans="1:14" ht="15" thickBot="1" x14ac:dyDescent="0.35">
      <c r="A32" s="72" t="s">
        <v>2</v>
      </c>
      <c r="B32" s="93">
        <f>SUM(B33:B87)</f>
        <v>392977.73943550384</v>
      </c>
      <c r="C32" s="93">
        <f>SUM(C33:C87)</f>
        <v>382426.48322519439</v>
      </c>
      <c r="D32" s="72"/>
      <c r="E32" s="75"/>
      <c r="F32" s="72"/>
      <c r="G32" s="92"/>
      <c r="H32" s="92"/>
      <c r="I32" s="92"/>
      <c r="J32" s="92"/>
      <c r="K32" s="92"/>
      <c r="L32" s="92"/>
      <c r="M32" s="92"/>
      <c r="N32" s="92"/>
    </row>
    <row r="33" spans="1:14" x14ac:dyDescent="0.3">
      <c r="A33" s="94">
        <v>2018</v>
      </c>
      <c r="B33" s="37">
        <f t="shared" ref="B33:B64" si="1">M33*(1/((1+$D$88)^(A33-2018)))</f>
        <v>0</v>
      </c>
      <c r="C33" s="37">
        <f t="shared" ref="C33:C64" si="2">N33*(1/((1+$D$89)^(A33-2018)))</f>
        <v>0</v>
      </c>
      <c r="D33" s="95"/>
      <c r="E33" s="96"/>
      <c r="F33" s="95"/>
      <c r="G33" s="37">
        <f>$I$8</f>
        <v>2356321.8390804599</v>
      </c>
      <c r="H33" s="37"/>
      <c r="I33" s="39">
        <f>$I$16</f>
        <v>17.899999999999999</v>
      </c>
      <c r="J33" s="97">
        <f>H33/I33</f>
        <v>0</v>
      </c>
      <c r="K33" s="37">
        <f>J33*$I$13</f>
        <v>0</v>
      </c>
      <c r="L33" s="98">
        <v>43</v>
      </c>
      <c r="M33" s="37">
        <f>K33*L33</f>
        <v>0</v>
      </c>
      <c r="N33" s="37">
        <f>H33*$L$24</f>
        <v>0</v>
      </c>
    </row>
    <row r="34" spans="1:14" x14ac:dyDescent="0.3">
      <c r="A34" s="99">
        <v>2019</v>
      </c>
      <c r="B34" s="37">
        <f t="shared" si="1"/>
        <v>0</v>
      </c>
      <c r="C34" s="37">
        <f t="shared" si="2"/>
        <v>0</v>
      </c>
      <c r="D34" s="95"/>
      <c r="E34" s="96"/>
      <c r="F34" s="95"/>
      <c r="G34" s="37">
        <f>G33</f>
        <v>2356321.8390804599</v>
      </c>
      <c r="H34" s="37"/>
      <c r="I34" s="39">
        <f t="shared" ref="I34:I67" si="3">$I$16</f>
        <v>17.899999999999999</v>
      </c>
      <c r="J34" s="97">
        <f t="shared" ref="J34:J67" si="4">H34/I34</f>
        <v>0</v>
      </c>
      <c r="K34" s="37">
        <f t="shared" ref="K34:K67" si="5">J34*$I$13</f>
        <v>0</v>
      </c>
      <c r="L34" s="98">
        <v>44</v>
      </c>
      <c r="M34" s="37">
        <f t="shared" ref="M34:M56" si="6">K34*L34</f>
        <v>0</v>
      </c>
      <c r="N34" s="37">
        <f t="shared" ref="N34:N67" si="7">H34*$L$24</f>
        <v>0</v>
      </c>
    </row>
    <row r="35" spans="1:14" x14ac:dyDescent="0.3">
      <c r="A35" s="99">
        <v>2020</v>
      </c>
      <c r="B35" s="37">
        <f t="shared" si="1"/>
        <v>0</v>
      </c>
      <c r="C35" s="37">
        <f t="shared" si="2"/>
        <v>0</v>
      </c>
      <c r="D35" s="95"/>
      <c r="E35" s="96"/>
      <c r="F35" s="95"/>
      <c r="G35" s="37">
        <f t="shared" ref="G35:G67" si="8">G34</f>
        <v>2356321.8390804599</v>
      </c>
      <c r="H35" s="37"/>
      <c r="I35" s="39">
        <f t="shared" si="3"/>
        <v>17.899999999999999</v>
      </c>
      <c r="J35" s="97">
        <f t="shared" si="4"/>
        <v>0</v>
      </c>
      <c r="K35" s="37">
        <f t="shared" si="5"/>
        <v>0</v>
      </c>
      <c r="L35" s="98">
        <v>45</v>
      </c>
      <c r="M35" s="37">
        <f t="shared" si="6"/>
        <v>0</v>
      </c>
      <c r="N35" s="37">
        <f t="shared" si="7"/>
        <v>0</v>
      </c>
    </row>
    <row r="36" spans="1:14" x14ac:dyDescent="0.3">
      <c r="A36" s="99">
        <v>2021</v>
      </c>
      <c r="B36" s="37">
        <f t="shared" si="1"/>
        <v>0</v>
      </c>
      <c r="C36" s="37">
        <f t="shared" si="2"/>
        <v>0</v>
      </c>
      <c r="D36" s="95"/>
      <c r="E36" s="96"/>
      <c r="F36" s="95"/>
      <c r="G36" s="37">
        <f t="shared" si="8"/>
        <v>2356321.8390804599</v>
      </c>
      <c r="H36" s="37"/>
      <c r="I36" s="39">
        <f t="shared" si="3"/>
        <v>17.899999999999999</v>
      </c>
      <c r="J36" s="97">
        <f t="shared" si="4"/>
        <v>0</v>
      </c>
      <c r="K36" s="37">
        <f t="shared" si="5"/>
        <v>0</v>
      </c>
      <c r="L36" s="98">
        <v>46</v>
      </c>
      <c r="M36" s="37">
        <f t="shared" si="6"/>
        <v>0</v>
      </c>
      <c r="N36" s="37">
        <f t="shared" si="7"/>
        <v>0</v>
      </c>
    </row>
    <row r="37" spans="1:14" x14ac:dyDescent="0.3">
      <c r="A37" s="99">
        <v>2022</v>
      </c>
      <c r="B37" s="37">
        <f t="shared" si="1"/>
        <v>0</v>
      </c>
      <c r="C37" s="37">
        <f t="shared" si="2"/>
        <v>0</v>
      </c>
      <c r="D37" s="95"/>
      <c r="E37" s="96"/>
      <c r="F37" s="95"/>
      <c r="G37" s="37">
        <f>G36</f>
        <v>2356321.8390804599</v>
      </c>
      <c r="H37" s="37"/>
      <c r="I37" s="39">
        <f t="shared" si="3"/>
        <v>17.899999999999999</v>
      </c>
      <c r="J37" s="97">
        <f t="shared" si="4"/>
        <v>0</v>
      </c>
      <c r="K37" s="37">
        <f t="shared" si="5"/>
        <v>0</v>
      </c>
      <c r="L37" s="98">
        <v>47</v>
      </c>
      <c r="M37" s="37">
        <f t="shared" si="6"/>
        <v>0</v>
      </c>
      <c r="N37" s="37">
        <f t="shared" si="7"/>
        <v>0</v>
      </c>
    </row>
    <row r="38" spans="1:14" x14ac:dyDescent="0.3">
      <c r="A38" s="99">
        <v>2023</v>
      </c>
      <c r="B38" s="37">
        <f t="shared" si="1"/>
        <v>0</v>
      </c>
      <c r="C38" s="37">
        <f t="shared" si="2"/>
        <v>0</v>
      </c>
      <c r="D38" s="95"/>
      <c r="E38" s="96"/>
      <c r="F38" s="95"/>
      <c r="G38" s="37">
        <f t="shared" si="8"/>
        <v>2356321.8390804599</v>
      </c>
      <c r="H38" s="37"/>
      <c r="I38" s="39">
        <f t="shared" si="3"/>
        <v>17.899999999999999</v>
      </c>
      <c r="J38" s="97">
        <f t="shared" si="4"/>
        <v>0</v>
      </c>
      <c r="K38" s="37">
        <f t="shared" si="5"/>
        <v>0</v>
      </c>
      <c r="L38" s="98">
        <v>47</v>
      </c>
      <c r="M38" s="37">
        <f t="shared" si="6"/>
        <v>0</v>
      </c>
      <c r="N38" s="37">
        <f t="shared" si="7"/>
        <v>0</v>
      </c>
    </row>
    <row r="39" spans="1:14" x14ac:dyDescent="0.3">
      <c r="A39" s="99">
        <v>2024</v>
      </c>
      <c r="B39" s="37">
        <f t="shared" si="1"/>
        <v>0</v>
      </c>
      <c r="C39" s="37">
        <f t="shared" si="2"/>
        <v>0</v>
      </c>
      <c r="D39" s="95"/>
      <c r="E39" s="96"/>
      <c r="F39" s="95"/>
      <c r="G39" s="37">
        <f t="shared" si="8"/>
        <v>2356321.8390804599</v>
      </c>
      <c r="H39" s="37"/>
      <c r="I39" s="39">
        <f t="shared" si="3"/>
        <v>17.899999999999999</v>
      </c>
      <c r="J39" s="97">
        <f t="shared" si="4"/>
        <v>0</v>
      </c>
      <c r="K39" s="37">
        <f t="shared" si="5"/>
        <v>0</v>
      </c>
      <c r="L39" s="98">
        <v>48</v>
      </c>
      <c r="M39" s="37">
        <f t="shared" si="6"/>
        <v>0</v>
      </c>
      <c r="N39" s="37">
        <f t="shared" si="7"/>
        <v>0</v>
      </c>
    </row>
    <row r="40" spans="1:14" x14ac:dyDescent="0.3">
      <c r="A40" s="99">
        <v>2025</v>
      </c>
      <c r="B40" s="37">
        <f t="shared" si="1"/>
        <v>0</v>
      </c>
      <c r="C40" s="37">
        <f t="shared" si="2"/>
        <v>0</v>
      </c>
      <c r="D40" s="95"/>
      <c r="E40" s="96"/>
      <c r="F40" s="95"/>
      <c r="G40" s="37">
        <f t="shared" si="8"/>
        <v>2356321.8390804599</v>
      </c>
      <c r="H40" s="37"/>
      <c r="I40" s="39">
        <f t="shared" si="3"/>
        <v>17.899999999999999</v>
      </c>
      <c r="J40" s="97">
        <f t="shared" si="4"/>
        <v>0</v>
      </c>
      <c r="K40" s="37">
        <f t="shared" si="5"/>
        <v>0</v>
      </c>
      <c r="L40" s="98">
        <v>50</v>
      </c>
      <c r="M40" s="37">
        <f t="shared" si="6"/>
        <v>0</v>
      </c>
      <c r="N40" s="37">
        <f t="shared" si="7"/>
        <v>0</v>
      </c>
    </row>
    <row r="41" spans="1:14" x14ac:dyDescent="0.3">
      <c r="A41" s="99">
        <v>2026</v>
      </c>
      <c r="B41" s="37">
        <f t="shared" si="1"/>
        <v>0</v>
      </c>
      <c r="C41" s="37">
        <f t="shared" si="2"/>
        <v>0</v>
      </c>
      <c r="D41" s="95"/>
      <c r="E41" s="96"/>
      <c r="F41" s="95"/>
      <c r="G41" s="37">
        <f t="shared" si="8"/>
        <v>2356321.8390804599</v>
      </c>
      <c r="H41" s="37"/>
      <c r="I41" s="39">
        <f t="shared" si="3"/>
        <v>17.899999999999999</v>
      </c>
      <c r="J41" s="97">
        <f t="shared" si="4"/>
        <v>0</v>
      </c>
      <c r="K41" s="37">
        <f t="shared" si="5"/>
        <v>0</v>
      </c>
      <c r="L41" s="98">
        <v>51</v>
      </c>
      <c r="M41" s="37">
        <f t="shared" si="6"/>
        <v>0</v>
      </c>
      <c r="N41" s="37">
        <f t="shared" si="7"/>
        <v>0</v>
      </c>
    </row>
    <row r="42" spans="1:14" x14ac:dyDescent="0.3">
      <c r="A42" s="99">
        <v>2027</v>
      </c>
      <c r="B42" s="37">
        <f t="shared" si="1"/>
        <v>0</v>
      </c>
      <c r="C42" s="37">
        <f t="shared" si="2"/>
        <v>0</v>
      </c>
      <c r="D42" s="95"/>
      <c r="E42" s="96"/>
      <c r="F42" s="95"/>
      <c r="G42" s="37">
        <f t="shared" si="8"/>
        <v>2356321.8390804599</v>
      </c>
      <c r="H42" s="37"/>
      <c r="I42" s="39">
        <f t="shared" si="3"/>
        <v>17.899999999999999</v>
      </c>
      <c r="J42" s="97">
        <f t="shared" si="4"/>
        <v>0</v>
      </c>
      <c r="K42" s="37">
        <f t="shared" si="5"/>
        <v>0</v>
      </c>
      <c r="L42" s="98">
        <v>52</v>
      </c>
      <c r="M42" s="37">
        <f t="shared" si="6"/>
        <v>0</v>
      </c>
      <c r="N42" s="37">
        <f t="shared" si="7"/>
        <v>0</v>
      </c>
    </row>
    <row r="43" spans="1:14" x14ac:dyDescent="0.3">
      <c r="A43" s="99">
        <v>2028</v>
      </c>
      <c r="B43" s="37">
        <f t="shared" si="1"/>
        <v>24611.778011729933</v>
      </c>
      <c r="C43" s="37">
        <f t="shared" si="2"/>
        <v>28079.235035606747</v>
      </c>
      <c r="D43" s="95"/>
      <c r="E43" s="96"/>
      <c r="F43" s="95"/>
      <c r="G43" s="37">
        <f t="shared" si="8"/>
        <v>2356321.8390804599</v>
      </c>
      <c r="H43" s="37">
        <f t="shared" ref="H43:H67" si="9">G43*((1+$I$10)^(A43-2035))</f>
        <v>2197783.9220110667</v>
      </c>
      <c r="I43" s="39">
        <f t="shared" si="3"/>
        <v>17.899999999999999</v>
      </c>
      <c r="J43" s="97">
        <f t="shared" si="4"/>
        <v>122781.22469335569</v>
      </c>
      <c r="K43" s="37">
        <f t="shared" si="5"/>
        <v>913.49231171856638</v>
      </c>
      <c r="L43" s="98">
        <v>53</v>
      </c>
      <c r="M43" s="37">
        <f>K43*L43</f>
        <v>48415.092521084021</v>
      </c>
      <c r="N43" s="37">
        <f t="shared" si="7"/>
        <v>55236.105311946536</v>
      </c>
    </row>
    <row r="44" spans="1:14" x14ac:dyDescent="0.3">
      <c r="A44" s="99">
        <v>2029</v>
      </c>
      <c r="B44" s="37">
        <f t="shared" si="1"/>
        <v>23670.011863159049</v>
      </c>
      <c r="C44" s="37">
        <f t="shared" si="2"/>
        <v>26504.69849155402</v>
      </c>
      <c r="D44" s="95"/>
      <c r="E44" s="96"/>
      <c r="F44" s="95"/>
      <c r="G44" s="37">
        <f t="shared" si="8"/>
        <v>2356321.8390804599</v>
      </c>
      <c r="H44" s="37">
        <f t="shared" si="9"/>
        <v>2219761.7612311766</v>
      </c>
      <c r="I44" s="39">
        <f t="shared" si="3"/>
        <v>17.899999999999999</v>
      </c>
      <c r="J44" s="97">
        <f t="shared" si="4"/>
        <v>124009.0369402892</v>
      </c>
      <c r="K44" s="37">
        <f t="shared" si="5"/>
        <v>922.62723483575166</v>
      </c>
      <c r="L44" s="98">
        <v>54</v>
      </c>
      <c r="M44" s="37">
        <f t="shared" si="6"/>
        <v>49821.870681130589</v>
      </c>
      <c r="N44" s="37">
        <f t="shared" si="7"/>
        <v>55788.466365065979</v>
      </c>
    </row>
    <row r="45" spans="1:14" x14ac:dyDescent="0.3">
      <c r="A45" s="99">
        <v>2030</v>
      </c>
      <c r="B45" s="37">
        <f t="shared" si="1"/>
        <v>22756.475579759182</v>
      </c>
      <c r="C45" s="37">
        <f t="shared" si="2"/>
        <v>25018.453716326698</v>
      </c>
      <c r="D45" s="95"/>
      <c r="E45" s="96"/>
      <c r="F45" s="95"/>
      <c r="G45" s="37">
        <f t="shared" si="8"/>
        <v>2356321.8390804599</v>
      </c>
      <c r="H45" s="37">
        <f t="shared" si="9"/>
        <v>2241959.3788434886</v>
      </c>
      <c r="I45" s="39">
        <f t="shared" si="3"/>
        <v>17.899999999999999</v>
      </c>
      <c r="J45" s="97">
        <f t="shared" si="4"/>
        <v>125249.12730969211</v>
      </c>
      <c r="K45" s="37">
        <f t="shared" si="5"/>
        <v>931.85350718410928</v>
      </c>
      <c r="L45" s="98">
        <v>55</v>
      </c>
      <c r="M45" s="37">
        <f t="shared" si="6"/>
        <v>51251.942895126012</v>
      </c>
      <c r="N45" s="37">
        <f t="shared" si="7"/>
        <v>56346.35102871665</v>
      </c>
    </row>
    <row r="46" spans="1:14" x14ac:dyDescent="0.3">
      <c r="A46" s="99">
        <v>2031</v>
      </c>
      <c r="B46" s="37">
        <f t="shared" si="1"/>
        <v>21480.411528557732</v>
      </c>
      <c r="C46" s="37">
        <f t="shared" si="2"/>
        <v>23615.549769616788</v>
      </c>
      <c r="D46" s="95"/>
      <c r="E46" s="96"/>
      <c r="F46" s="95"/>
      <c r="G46" s="37">
        <f t="shared" si="8"/>
        <v>2356321.8390804599</v>
      </c>
      <c r="H46" s="37">
        <f t="shared" si="9"/>
        <v>2264378.9726319234</v>
      </c>
      <c r="I46" s="39">
        <f t="shared" si="3"/>
        <v>17.899999999999999</v>
      </c>
      <c r="J46" s="97">
        <f t="shared" si="4"/>
        <v>126501.61858278903</v>
      </c>
      <c r="K46" s="37">
        <f t="shared" si="5"/>
        <v>941.17204225595049</v>
      </c>
      <c r="L46" s="98">
        <v>55</v>
      </c>
      <c r="M46" s="37">
        <f t="shared" si="6"/>
        <v>51764.462324077278</v>
      </c>
      <c r="N46" s="37">
        <f t="shared" si="7"/>
        <v>56909.814539003812</v>
      </c>
    </row>
    <row r="47" spans="1:14" x14ac:dyDescent="0.3">
      <c r="A47" s="99">
        <v>2032</v>
      </c>
      <c r="B47" s="37">
        <f t="shared" si="1"/>
        <v>20644.555243079449</v>
      </c>
      <c r="C47" s="37">
        <f t="shared" si="2"/>
        <v>22291.313333937349</v>
      </c>
      <c r="D47" s="95"/>
      <c r="E47" s="96"/>
      <c r="F47" s="95"/>
      <c r="G47" s="37">
        <f t="shared" si="8"/>
        <v>2356321.8390804599</v>
      </c>
      <c r="H47" s="37">
        <f t="shared" si="9"/>
        <v>2287022.7623582431</v>
      </c>
      <c r="I47" s="39">
        <f t="shared" si="3"/>
        <v>17.899999999999999</v>
      </c>
      <c r="J47" s="97">
        <f t="shared" si="4"/>
        <v>127766.63476861695</v>
      </c>
      <c r="K47" s="37">
        <f t="shared" si="5"/>
        <v>950.58376267851008</v>
      </c>
      <c r="L47" s="98">
        <v>56</v>
      </c>
      <c r="M47" s="37">
        <f t="shared" si="6"/>
        <v>53232.690709996561</v>
      </c>
      <c r="N47" s="37">
        <f t="shared" si="7"/>
        <v>57478.912684393865</v>
      </c>
    </row>
    <row r="48" spans="1:14" x14ac:dyDescent="0.3">
      <c r="A48" s="99">
        <v>2033</v>
      </c>
      <c r="B48" s="37">
        <f t="shared" si="1"/>
        <v>20182.877939579335</v>
      </c>
      <c r="C48" s="37">
        <f t="shared" si="2"/>
        <v>21041.333146987581</v>
      </c>
      <c r="D48" s="95"/>
      <c r="E48" s="96"/>
      <c r="F48" s="95"/>
      <c r="G48" s="37">
        <f t="shared" si="8"/>
        <v>2356321.8390804599</v>
      </c>
      <c r="H48" s="37">
        <f t="shared" si="9"/>
        <v>2309892.989981825</v>
      </c>
      <c r="I48" s="39">
        <f t="shared" si="3"/>
        <v>17.899999999999999</v>
      </c>
      <c r="J48" s="97">
        <f t="shared" si="4"/>
        <v>129044.30111630309</v>
      </c>
      <c r="K48" s="37">
        <f t="shared" si="5"/>
        <v>960.08960030529499</v>
      </c>
      <c r="L48" s="98">
        <v>58</v>
      </c>
      <c r="M48" s="37">
        <f t="shared" si="6"/>
        <v>55685.19681770711</v>
      </c>
      <c r="N48" s="37">
        <f t="shared" si="7"/>
        <v>58053.701811237785</v>
      </c>
    </row>
    <row r="49" spans="1:14" x14ac:dyDescent="0.3">
      <c r="A49" s="99">
        <v>2034</v>
      </c>
      <c r="B49" s="37">
        <f t="shared" si="1"/>
        <v>19379.595494997306</v>
      </c>
      <c r="C49" s="37">
        <f t="shared" si="2"/>
        <v>19861.445306969588</v>
      </c>
      <c r="D49" s="95"/>
      <c r="E49" s="96"/>
      <c r="F49" s="95"/>
      <c r="G49" s="37">
        <f t="shared" si="8"/>
        <v>2356321.8390804599</v>
      </c>
      <c r="H49" s="37">
        <f t="shared" si="9"/>
        <v>2332991.9198816433</v>
      </c>
      <c r="I49" s="39">
        <f t="shared" si="3"/>
        <v>17.899999999999999</v>
      </c>
      <c r="J49" s="97">
        <f t="shared" si="4"/>
        <v>130334.74412746611</v>
      </c>
      <c r="K49" s="37">
        <f t="shared" si="5"/>
        <v>969.69049630834797</v>
      </c>
      <c r="L49" s="98">
        <v>59</v>
      </c>
      <c r="M49" s="37">
        <f t="shared" si="6"/>
        <v>57211.739282192531</v>
      </c>
      <c r="N49" s="37">
        <f t="shared" si="7"/>
        <v>58634.238829350164</v>
      </c>
    </row>
    <row r="50" spans="1:14" x14ac:dyDescent="0.3">
      <c r="A50" s="99">
        <v>2035</v>
      </c>
      <c r="B50" s="37">
        <f t="shared" si="1"/>
        <v>18602.93817514394</v>
      </c>
      <c r="C50" s="37">
        <f t="shared" si="2"/>
        <v>18747.719401905877</v>
      </c>
      <c r="D50" s="95"/>
      <c r="E50" s="96"/>
      <c r="F50" s="95"/>
      <c r="G50" s="37">
        <f t="shared" si="8"/>
        <v>2356321.8390804599</v>
      </c>
      <c r="H50" s="37">
        <f t="shared" si="9"/>
        <v>2356321.8390804599</v>
      </c>
      <c r="I50" s="39">
        <f t="shared" si="3"/>
        <v>17.899999999999999</v>
      </c>
      <c r="J50" s="97">
        <f t="shared" si="4"/>
        <v>131638.09156874078</v>
      </c>
      <c r="K50" s="37">
        <f t="shared" si="5"/>
        <v>979.38740127143149</v>
      </c>
      <c r="L50" s="98">
        <v>60</v>
      </c>
      <c r="M50" s="37">
        <f t="shared" si="6"/>
        <v>58763.24407628589</v>
      </c>
      <c r="N50" s="37">
        <f t="shared" si="7"/>
        <v>59220.581217643674</v>
      </c>
    </row>
    <row r="51" spans="1:14" x14ac:dyDescent="0.3">
      <c r="A51" s="99">
        <v>2036</v>
      </c>
      <c r="B51" s="37">
        <f t="shared" si="1"/>
        <v>17852.445809511184</v>
      </c>
      <c r="C51" s="37">
        <f t="shared" si="2"/>
        <v>17696.445416752274</v>
      </c>
      <c r="D51" s="95"/>
      <c r="E51" s="96"/>
      <c r="F51" s="95"/>
      <c r="G51" s="37">
        <f t="shared" si="8"/>
        <v>2356321.8390804599</v>
      </c>
      <c r="H51" s="37">
        <f t="shared" si="9"/>
        <v>2379885.0574712646</v>
      </c>
      <c r="I51" s="39">
        <f t="shared" si="3"/>
        <v>17.899999999999999</v>
      </c>
      <c r="J51" s="97">
        <f t="shared" si="4"/>
        <v>132954.4724844282</v>
      </c>
      <c r="K51" s="37">
        <f t="shared" si="5"/>
        <v>989.18127528414584</v>
      </c>
      <c r="L51" s="98">
        <v>61</v>
      </c>
      <c r="M51" s="37">
        <f t="shared" si="6"/>
        <v>60340.057792332896</v>
      </c>
      <c r="N51" s="37">
        <f t="shared" si="7"/>
        <v>59812.787029820109</v>
      </c>
    </row>
    <row r="52" spans="1:14" x14ac:dyDescent="0.3">
      <c r="A52" s="99">
        <v>2037</v>
      </c>
      <c r="B52" s="37">
        <f t="shared" si="1"/>
        <v>17127.626116004139</v>
      </c>
      <c r="C52" s="37">
        <f t="shared" si="2"/>
        <v>16704.1213746914</v>
      </c>
      <c r="D52" s="95"/>
      <c r="E52" s="96"/>
      <c r="F52" s="95"/>
      <c r="G52" s="37">
        <f t="shared" si="8"/>
        <v>2356321.8390804599</v>
      </c>
      <c r="H52" s="37">
        <f t="shared" si="9"/>
        <v>2403683.9080459774</v>
      </c>
      <c r="I52" s="39">
        <f t="shared" si="3"/>
        <v>17.899999999999999</v>
      </c>
      <c r="J52" s="97">
        <f t="shared" si="4"/>
        <v>134284.01720927248</v>
      </c>
      <c r="K52" s="37">
        <f t="shared" si="5"/>
        <v>999.07308803698731</v>
      </c>
      <c r="L52" s="98">
        <v>62</v>
      </c>
      <c r="M52" s="37">
        <f t="shared" si="6"/>
        <v>61942.531458293211</v>
      </c>
      <c r="N52" s="37">
        <f t="shared" si="7"/>
        <v>60410.914900118318</v>
      </c>
    </row>
    <row r="53" spans="1:14" x14ac:dyDescent="0.3">
      <c r="A53" s="99">
        <v>2038</v>
      </c>
      <c r="B53" s="37">
        <f t="shared" si="1"/>
        <v>16427.959749191192</v>
      </c>
      <c r="C53" s="37">
        <f t="shared" si="2"/>
        <v>15767.441671437677</v>
      </c>
      <c r="D53" s="95"/>
      <c r="E53" s="96"/>
      <c r="F53" s="95"/>
      <c r="G53" s="37">
        <f t="shared" si="8"/>
        <v>2356321.8390804599</v>
      </c>
      <c r="H53" s="37">
        <f t="shared" si="9"/>
        <v>2427720.7471264368</v>
      </c>
      <c r="I53" s="39">
        <f t="shared" si="3"/>
        <v>17.899999999999999</v>
      </c>
      <c r="J53" s="97">
        <f t="shared" si="4"/>
        <v>135626.8573813652</v>
      </c>
      <c r="K53" s="37">
        <f t="shared" si="5"/>
        <v>1009.0638189173571</v>
      </c>
      <c r="L53" s="98">
        <v>63</v>
      </c>
      <c r="M53" s="37">
        <f t="shared" si="6"/>
        <v>63571.020591793502</v>
      </c>
      <c r="N53" s="37">
        <f t="shared" si="7"/>
        <v>61015.024049119493</v>
      </c>
    </row>
    <row r="54" spans="1:14" x14ac:dyDescent="0.3">
      <c r="A54" s="99">
        <v>2039</v>
      </c>
      <c r="B54" s="37">
        <f t="shared" si="1"/>
        <v>15752.904883366245</v>
      </c>
      <c r="C54" s="37">
        <f t="shared" si="2"/>
        <v>14883.286063693507</v>
      </c>
      <c r="D54" s="95"/>
      <c r="E54" s="96"/>
      <c r="F54" s="95"/>
      <c r="G54" s="37">
        <f t="shared" si="8"/>
        <v>2356321.8390804599</v>
      </c>
      <c r="H54" s="37">
        <f t="shared" si="9"/>
        <v>2451997.9545977013</v>
      </c>
      <c r="I54" s="39">
        <f t="shared" si="3"/>
        <v>17.899999999999999</v>
      </c>
      <c r="J54" s="97">
        <f t="shared" si="4"/>
        <v>136983.12595517887</v>
      </c>
      <c r="K54" s="37">
        <f t="shared" si="5"/>
        <v>1019.1544571065308</v>
      </c>
      <c r="L54" s="98">
        <v>64</v>
      </c>
      <c r="M54" s="37">
        <f t="shared" si="6"/>
        <v>65225.885254817971</v>
      </c>
      <c r="N54" s="37">
        <f t="shared" si="7"/>
        <v>61625.174289610688</v>
      </c>
    </row>
    <row r="55" spans="1:14" x14ac:dyDescent="0.3">
      <c r="A55" s="99">
        <v>2040</v>
      </c>
      <c r="B55" s="37">
        <f t="shared" si="1"/>
        <v>15101.901366720123</v>
      </c>
      <c r="C55" s="37">
        <f t="shared" si="2"/>
        <v>14048.70927507518</v>
      </c>
      <c r="D55" s="95"/>
      <c r="E55" s="96"/>
      <c r="F55" s="95"/>
      <c r="G55" s="37">
        <f t="shared" si="8"/>
        <v>2356321.8390804599</v>
      </c>
      <c r="H55" s="37">
        <f t="shared" si="9"/>
        <v>2476517.9341436783</v>
      </c>
      <c r="I55" s="39">
        <f t="shared" si="3"/>
        <v>17.899999999999999</v>
      </c>
      <c r="J55" s="97">
        <f t="shared" si="4"/>
        <v>138352.95721473065</v>
      </c>
      <c r="K55" s="37">
        <f t="shared" si="5"/>
        <v>1029.3460016775962</v>
      </c>
      <c r="L55" s="98">
        <v>65</v>
      </c>
      <c r="M55" s="37">
        <f t="shared" si="6"/>
        <v>66907.490109043749</v>
      </c>
      <c r="N55" s="37">
        <f t="shared" si="7"/>
        <v>62241.426032506795</v>
      </c>
    </row>
    <row r="56" spans="1:14" x14ac:dyDescent="0.3">
      <c r="A56" s="99">
        <v>2041</v>
      </c>
      <c r="B56" s="37">
        <f t="shared" si="1"/>
        <v>14693.683184557163</v>
      </c>
      <c r="C56" s="37">
        <f t="shared" si="2"/>
        <v>13260.93118488405</v>
      </c>
      <c r="D56" s="95"/>
      <c r="E56" s="96"/>
      <c r="F56" s="95"/>
      <c r="G56" s="37">
        <f t="shared" si="8"/>
        <v>2356321.8390804599</v>
      </c>
      <c r="H56" s="37">
        <f t="shared" si="9"/>
        <v>2501283.1134851156</v>
      </c>
      <c r="I56" s="39">
        <f t="shared" si="3"/>
        <v>17.899999999999999</v>
      </c>
      <c r="J56" s="97">
        <f t="shared" si="4"/>
        <v>139736.48678687797</v>
      </c>
      <c r="K56" s="37">
        <f t="shared" si="5"/>
        <v>1039.6394616943721</v>
      </c>
      <c r="L56" s="98">
        <v>67</v>
      </c>
      <c r="M56" s="37">
        <f t="shared" si="6"/>
        <v>69655.843933522934</v>
      </c>
      <c r="N56" s="37">
        <f t="shared" si="7"/>
        <v>62863.840292831876</v>
      </c>
    </row>
    <row r="57" spans="1:14" x14ac:dyDescent="0.3">
      <c r="A57" s="99">
        <v>2042</v>
      </c>
      <c r="B57" s="37">
        <f t="shared" si="1"/>
        <v>14076.749352983479</v>
      </c>
      <c r="C57" s="37">
        <f t="shared" si="2"/>
        <v>12517.32756704008</v>
      </c>
      <c r="D57" s="95"/>
      <c r="E57" s="96"/>
      <c r="F57" s="95"/>
      <c r="G57" s="37">
        <f t="shared" si="8"/>
        <v>2356321.8390804599</v>
      </c>
      <c r="H57" s="37">
        <f t="shared" si="9"/>
        <v>2526295.9446199657</v>
      </c>
      <c r="I57" s="39">
        <f t="shared" si="3"/>
        <v>17.899999999999999</v>
      </c>
      <c r="J57" s="97">
        <f t="shared" si="4"/>
        <v>141133.85165474669</v>
      </c>
      <c r="K57" s="37">
        <f t="shared" si="5"/>
        <v>1050.0358563113155</v>
      </c>
      <c r="L57" s="98">
        <v>68</v>
      </c>
      <c r="M57" s="37">
        <f t="shared" ref="M57:M67" si="10">K57*L57</f>
        <v>71402.438229169449</v>
      </c>
      <c r="N57" s="37">
        <f t="shared" si="7"/>
        <v>63492.478695760168</v>
      </c>
    </row>
    <row r="58" spans="1:14" x14ac:dyDescent="0.3">
      <c r="A58" s="99">
        <v>2043</v>
      </c>
      <c r="B58" s="37">
        <f t="shared" si="1"/>
        <v>13482.801847298226</v>
      </c>
      <c r="C58" s="37">
        <f t="shared" si="2"/>
        <v>11815.421348327556</v>
      </c>
      <c r="D58" s="95"/>
      <c r="E58" s="96"/>
      <c r="F58" s="95"/>
      <c r="G58" s="37">
        <f t="shared" si="8"/>
        <v>2356321.8390804599</v>
      </c>
      <c r="H58" s="37">
        <f t="shared" si="9"/>
        <v>2551558.9040661664</v>
      </c>
      <c r="I58" s="39">
        <f t="shared" si="3"/>
        <v>17.899999999999999</v>
      </c>
      <c r="J58" s="97">
        <f t="shared" si="4"/>
        <v>142545.19017129423</v>
      </c>
      <c r="K58" s="37">
        <f t="shared" si="5"/>
        <v>1060.5362148744291</v>
      </c>
      <c r="L58" s="98">
        <v>69</v>
      </c>
      <c r="M58" s="37">
        <f t="shared" si="10"/>
        <v>73176.998826335606</v>
      </c>
      <c r="N58" s="37">
        <f t="shared" si="7"/>
        <v>64127.403482717797</v>
      </c>
    </row>
    <row r="59" spans="1:14" x14ac:dyDescent="0.3">
      <c r="A59" s="99">
        <v>2044</v>
      </c>
      <c r="B59" s="37">
        <f t="shared" si="1"/>
        <v>12726.756883898328</v>
      </c>
      <c r="C59" s="37">
        <f t="shared" si="2"/>
        <v>11152.874356832554</v>
      </c>
      <c r="D59" s="95"/>
      <c r="E59" s="96"/>
      <c r="F59" s="95"/>
      <c r="G59" s="37">
        <f t="shared" si="8"/>
        <v>2356321.8390804599</v>
      </c>
      <c r="H59" s="37">
        <f t="shared" si="9"/>
        <v>2577074.4931068281</v>
      </c>
      <c r="I59" s="39">
        <f t="shared" si="3"/>
        <v>17.899999999999999</v>
      </c>
      <c r="J59" s="97">
        <f t="shared" si="4"/>
        <v>143970.64207300715</v>
      </c>
      <c r="K59" s="37">
        <f t="shared" si="5"/>
        <v>1071.1415770231733</v>
      </c>
      <c r="L59" s="98">
        <v>69</v>
      </c>
      <c r="M59" s="37">
        <f t="shared" si="10"/>
        <v>73908.768814598967</v>
      </c>
      <c r="N59" s="37">
        <f t="shared" si="7"/>
        <v>64768.677517544973</v>
      </c>
    </row>
    <row r="60" spans="1:14" x14ac:dyDescent="0.3">
      <c r="A60" s="99">
        <v>2045</v>
      </c>
      <c r="B60" s="37">
        <f t="shared" si="1"/>
        <v>12187.209964670345</v>
      </c>
      <c r="C60" s="37">
        <f t="shared" si="2"/>
        <v>10527.479533084932</v>
      </c>
      <c r="D60" s="95"/>
      <c r="E60" s="96"/>
      <c r="F60" s="95"/>
      <c r="G60" s="37">
        <f t="shared" si="8"/>
        <v>2356321.8390804599</v>
      </c>
      <c r="H60" s="37">
        <f t="shared" si="9"/>
        <v>2602845.2380378963</v>
      </c>
      <c r="I60" s="39">
        <f t="shared" si="3"/>
        <v>17.899999999999999</v>
      </c>
      <c r="J60" s="97">
        <f t="shared" si="4"/>
        <v>145410.34849373723</v>
      </c>
      <c r="K60" s="37">
        <f t="shared" si="5"/>
        <v>1081.8529927934051</v>
      </c>
      <c r="L60" s="98">
        <v>70</v>
      </c>
      <c r="M60" s="37">
        <f t="shared" si="10"/>
        <v>75729.709495538351</v>
      </c>
      <c r="N60" s="37">
        <f t="shared" si="7"/>
        <v>65416.36429272042</v>
      </c>
    </row>
    <row r="61" spans="1:14" x14ac:dyDescent="0.3">
      <c r="A61" s="99">
        <v>2046</v>
      </c>
      <c r="B61" s="37">
        <f t="shared" si="1"/>
        <v>11668.15522785728</v>
      </c>
      <c r="C61" s="37">
        <f t="shared" si="2"/>
        <v>9937.153577958672</v>
      </c>
      <c r="D61" s="95"/>
      <c r="E61" s="96"/>
      <c r="F61" s="95"/>
      <c r="G61" s="37">
        <f t="shared" si="8"/>
        <v>2356321.8390804599</v>
      </c>
      <c r="H61" s="37">
        <f t="shared" si="9"/>
        <v>2628873.6904182746</v>
      </c>
      <c r="I61" s="39">
        <f t="shared" si="3"/>
        <v>17.899999999999999</v>
      </c>
      <c r="J61" s="97">
        <f t="shared" si="4"/>
        <v>146864.45197867457</v>
      </c>
      <c r="K61" s="37">
        <f t="shared" si="5"/>
        <v>1092.6715227213388</v>
      </c>
      <c r="L61" s="98">
        <v>71</v>
      </c>
      <c r="M61" s="37">
        <f t="shared" si="10"/>
        <v>77579.67811321505</v>
      </c>
      <c r="N61" s="37">
        <f t="shared" si="7"/>
        <v>66070.527935647609</v>
      </c>
    </row>
    <row r="62" spans="1:14" x14ac:dyDescent="0.3">
      <c r="A62" s="99">
        <v>2047</v>
      </c>
      <c r="B62" s="37">
        <f t="shared" si="1"/>
        <v>11168.991025006997</v>
      </c>
      <c r="C62" s="37">
        <f t="shared" si="2"/>
        <v>9379.9300128394952</v>
      </c>
      <c r="D62" s="95"/>
      <c r="E62" s="96"/>
      <c r="F62" s="95"/>
      <c r="G62" s="37">
        <f t="shared" si="8"/>
        <v>2356321.8390804599</v>
      </c>
      <c r="H62" s="37">
        <f t="shared" si="9"/>
        <v>2655162.4273224575</v>
      </c>
      <c r="I62" s="39">
        <f t="shared" si="3"/>
        <v>17.899999999999999</v>
      </c>
      <c r="J62" s="97">
        <f t="shared" si="4"/>
        <v>148333.09649846132</v>
      </c>
      <c r="K62" s="37">
        <f t="shared" si="5"/>
        <v>1103.5982379485524</v>
      </c>
      <c r="L62" s="98">
        <v>72</v>
      </c>
      <c r="M62" s="37">
        <f t="shared" si="10"/>
        <v>79459.073132295773</v>
      </c>
      <c r="N62" s="37">
        <f t="shared" si="7"/>
        <v>66731.233215004089</v>
      </c>
    </row>
    <row r="63" spans="1:14" x14ac:dyDescent="0.3">
      <c r="A63" s="99">
        <v>2048</v>
      </c>
      <c r="B63" s="37">
        <f t="shared" si="1"/>
        <v>10689.118747063423</v>
      </c>
      <c r="C63" s="37">
        <f t="shared" si="2"/>
        <v>8853.9526289419555</v>
      </c>
      <c r="D63" s="95"/>
      <c r="E63" s="96"/>
      <c r="F63" s="95"/>
      <c r="G63" s="37">
        <f t="shared" si="8"/>
        <v>2356321.8390804599</v>
      </c>
      <c r="H63" s="37">
        <f t="shared" si="9"/>
        <v>2681714.0515956823</v>
      </c>
      <c r="I63" s="39">
        <f t="shared" si="3"/>
        <v>17.899999999999999</v>
      </c>
      <c r="J63" s="97">
        <f t="shared" si="4"/>
        <v>149816.42746344596</v>
      </c>
      <c r="K63" s="37">
        <f t="shared" si="5"/>
        <v>1114.6342203280381</v>
      </c>
      <c r="L63" s="98">
        <v>73</v>
      </c>
      <c r="M63" s="37">
        <f t="shared" si="10"/>
        <v>81368.298083946778</v>
      </c>
      <c r="N63" s="37">
        <f t="shared" si="7"/>
        <v>67398.545547154135</v>
      </c>
    </row>
    <row r="64" spans="1:14" x14ac:dyDescent="0.3">
      <c r="A64" s="99">
        <v>2049</v>
      </c>
      <c r="B64" s="37">
        <f t="shared" si="1"/>
        <v>10227.944375310715</v>
      </c>
      <c r="C64" s="37">
        <f t="shared" si="2"/>
        <v>8357.4693039545527</v>
      </c>
      <c r="D64" s="95"/>
      <c r="E64" s="96"/>
      <c r="F64" s="95"/>
      <c r="G64" s="37">
        <f t="shared" si="8"/>
        <v>2356321.8390804599</v>
      </c>
      <c r="H64" s="37">
        <f t="shared" si="9"/>
        <v>2708531.1921116393</v>
      </c>
      <c r="I64" s="39">
        <f t="shared" si="3"/>
        <v>17.899999999999999</v>
      </c>
      <c r="J64" s="97">
        <f t="shared" si="4"/>
        <v>151314.59173808043</v>
      </c>
      <c r="K64" s="37">
        <f t="shared" si="5"/>
        <v>1125.7805625313185</v>
      </c>
      <c r="L64" s="98">
        <v>74</v>
      </c>
      <c r="M64" s="37">
        <f t="shared" si="10"/>
        <v>83307.761627317566</v>
      </c>
      <c r="N64" s="37">
        <f t="shared" si="7"/>
        <v>68072.531002625678</v>
      </c>
    </row>
    <row r="65" spans="1:14" x14ac:dyDescent="0.3">
      <c r="A65" s="99">
        <v>2050</v>
      </c>
      <c r="B65" s="37">
        <f t="shared" ref="B65:B67" si="11">M65*(1/((1+$D$88)^(A65-2018)))</f>
        <v>9915.3449134737384</v>
      </c>
      <c r="C65" s="37">
        <f t="shared" ref="C65:C67" si="12">N65*(1/((1+$D$89)^(A65-2018)))</f>
        <v>7888.8261654150456</v>
      </c>
      <c r="D65" s="95"/>
      <c r="E65" s="96"/>
      <c r="F65" s="95"/>
      <c r="G65" s="37">
        <f t="shared" si="8"/>
        <v>2356321.8390804599</v>
      </c>
      <c r="H65" s="37">
        <f t="shared" si="9"/>
        <v>2735616.5040327553</v>
      </c>
      <c r="I65" s="39">
        <f t="shared" si="3"/>
        <v>17.899999999999999</v>
      </c>
      <c r="J65" s="97">
        <f t="shared" si="4"/>
        <v>152827.73765546121</v>
      </c>
      <c r="K65" s="37">
        <f t="shared" si="5"/>
        <v>1137.0383681566316</v>
      </c>
      <c r="L65" s="98">
        <v>76</v>
      </c>
      <c r="M65" s="37">
        <f t="shared" si="10"/>
        <v>86414.915979904006</v>
      </c>
      <c r="N65" s="37">
        <f t="shared" si="7"/>
        <v>68753.256312651924</v>
      </c>
    </row>
    <row r="66" spans="1:14" x14ac:dyDescent="0.3">
      <c r="A66" s="99">
        <v>2051</v>
      </c>
      <c r="B66" s="37">
        <f t="shared" si="11"/>
        <v>9482.4935307532305</v>
      </c>
      <c r="C66" s="37">
        <f t="shared" si="12"/>
        <v>7446.4620813730835</v>
      </c>
      <c r="D66" s="95"/>
      <c r="E66" s="96"/>
      <c r="F66" s="95"/>
      <c r="G66" s="37">
        <f t="shared" si="8"/>
        <v>2356321.8390804599</v>
      </c>
      <c r="H66" s="37">
        <f t="shared" si="9"/>
        <v>2762972.6690730834</v>
      </c>
      <c r="I66" s="39">
        <f t="shared" si="3"/>
        <v>17.899999999999999</v>
      </c>
      <c r="J66" s="97">
        <f t="shared" si="4"/>
        <v>154356.01503201586</v>
      </c>
      <c r="K66" s="37">
        <f t="shared" si="5"/>
        <v>1148.408751838198</v>
      </c>
      <c r="L66" s="98">
        <v>77</v>
      </c>
      <c r="M66" s="37">
        <f t="shared" si="10"/>
        <v>88427.473891541245</v>
      </c>
      <c r="N66" s="37">
        <f t="shared" si="7"/>
        <v>69440.788875778468</v>
      </c>
    </row>
    <row r="67" spans="1:14" x14ac:dyDescent="0.3">
      <c r="A67" s="99">
        <v>2052</v>
      </c>
      <c r="B67" s="37">
        <f t="shared" si="11"/>
        <v>9067.0086218320139</v>
      </c>
      <c r="C67" s="37">
        <f t="shared" si="12"/>
        <v>7028.9034599876768</v>
      </c>
      <c r="D67" s="95"/>
      <c r="E67" s="96"/>
      <c r="F67" s="95"/>
      <c r="G67" s="37">
        <f t="shared" si="8"/>
        <v>2356321.8390804599</v>
      </c>
      <c r="H67" s="37">
        <f t="shared" si="9"/>
        <v>2790602.3957638144</v>
      </c>
      <c r="I67" s="39">
        <f t="shared" si="3"/>
        <v>17.899999999999999</v>
      </c>
      <c r="J67" s="97">
        <f t="shared" si="4"/>
        <v>155899.575182336</v>
      </c>
      <c r="K67" s="37">
        <f t="shared" si="5"/>
        <v>1159.89283935658</v>
      </c>
      <c r="L67" s="98">
        <v>78</v>
      </c>
      <c r="M67" s="37">
        <f t="shared" si="10"/>
        <v>90471.641469813243</v>
      </c>
      <c r="N67" s="37">
        <f t="shared" si="7"/>
        <v>70135.196764536246</v>
      </c>
    </row>
    <row r="68" spans="1:14" x14ac:dyDescent="0.3">
      <c r="A68" s="99"/>
      <c r="B68" s="37"/>
      <c r="C68" s="37"/>
      <c r="D68" s="95"/>
      <c r="E68" s="96"/>
      <c r="F68" s="95"/>
      <c r="G68" s="37"/>
      <c r="H68" s="37"/>
      <c r="J68" s="97"/>
      <c r="K68" s="37"/>
      <c r="L68" s="98"/>
      <c r="M68" s="37"/>
      <c r="N68" s="37"/>
    </row>
    <row r="69" spans="1:14" x14ac:dyDescent="0.3">
      <c r="A69" s="99"/>
      <c r="B69" s="37"/>
      <c r="C69" s="37"/>
      <c r="D69" s="95"/>
      <c r="E69" s="96"/>
      <c r="F69" s="95"/>
      <c r="G69" s="37"/>
      <c r="H69" s="37"/>
      <c r="J69" s="97"/>
      <c r="K69" s="37"/>
      <c r="L69" s="98"/>
      <c r="M69" s="37"/>
      <c r="N69" s="37"/>
    </row>
    <row r="70" spans="1:14" x14ac:dyDescent="0.3">
      <c r="A70" s="99"/>
      <c r="B70" s="37"/>
      <c r="C70" s="37"/>
      <c r="D70" s="95"/>
      <c r="E70" s="96"/>
      <c r="F70" s="95"/>
      <c r="G70" s="37"/>
      <c r="H70" s="37"/>
      <c r="J70" s="97"/>
      <c r="K70" s="37"/>
      <c r="L70" s="98"/>
      <c r="M70" s="37"/>
      <c r="N70" s="37"/>
    </row>
    <row r="71" spans="1:14" x14ac:dyDescent="0.3">
      <c r="A71" s="99"/>
      <c r="B71" s="37"/>
      <c r="C71" s="37"/>
      <c r="D71" s="95"/>
      <c r="E71" s="96"/>
      <c r="F71" s="95"/>
      <c r="G71" s="37"/>
      <c r="H71" s="37"/>
      <c r="J71" s="97"/>
      <c r="K71" s="37"/>
      <c r="L71" s="98"/>
      <c r="M71" s="37"/>
      <c r="N71" s="37"/>
    </row>
    <row r="72" spans="1:14" x14ac:dyDescent="0.3">
      <c r="A72" s="99"/>
      <c r="B72" s="37"/>
      <c r="C72" s="37"/>
      <c r="D72" s="95"/>
      <c r="E72" s="96"/>
      <c r="F72" s="95"/>
      <c r="G72" s="37"/>
      <c r="H72" s="37"/>
      <c r="J72" s="97"/>
      <c r="K72" s="37"/>
      <c r="L72" s="98"/>
      <c r="M72" s="37"/>
      <c r="N72" s="37"/>
    </row>
    <row r="73" spans="1:14" x14ac:dyDescent="0.3">
      <c r="A73" s="99"/>
      <c r="B73" s="37"/>
      <c r="C73" s="37"/>
      <c r="D73" s="95"/>
      <c r="E73" s="96"/>
      <c r="F73" s="95"/>
      <c r="G73" s="37"/>
      <c r="H73" s="37"/>
      <c r="J73" s="97"/>
      <c r="K73" s="37"/>
      <c r="L73" s="98"/>
      <c r="M73" s="37"/>
      <c r="N73" s="37"/>
    </row>
    <row r="74" spans="1:14" x14ac:dyDescent="0.3">
      <c r="A74" s="99"/>
      <c r="B74" s="37"/>
      <c r="C74" s="37"/>
      <c r="D74" s="95"/>
      <c r="E74" s="96"/>
      <c r="F74" s="95"/>
      <c r="G74" s="37"/>
      <c r="H74" s="37"/>
      <c r="J74" s="97"/>
      <c r="K74" s="37"/>
      <c r="L74" s="98"/>
      <c r="M74" s="37"/>
      <c r="N74" s="37"/>
    </row>
    <row r="75" spans="1:14" x14ac:dyDescent="0.3">
      <c r="A75" s="99"/>
      <c r="B75" s="37"/>
      <c r="C75" s="37"/>
      <c r="D75" s="95"/>
      <c r="E75" s="96"/>
      <c r="F75" s="95"/>
      <c r="G75" s="37"/>
      <c r="H75" s="37"/>
      <c r="J75" s="97"/>
      <c r="K75" s="37"/>
      <c r="L75" s="98"/>
      <c r="M75" s="37"/>
      <c r="N75" s="37"/>
    </row>
    <row r="76" spans="1:14" x14ac:dyDescent="0.3">
      <c r="A76" s="99"/>
      <c r="B76" s="37"/>
      <c r="C76" s="37"/>
      <c r="D76" s="95"/>
      <c r="E76" s="96"/>
      <c r="F76" s="95"/>
      <c r="G76" s="37"/>
      <c r="H76" s="37"/>
      <c r="J76" s="97"/>
      <c r="K76" s="37"/>
      <c r="L76" s="98"/>
      <c r="M76" s="37"/>
      <c r="N76" s="37"/>
    </row>
    <row r="77" spans="1:14" x14ac:dyDescent="0.3">
      <c r="A77" s="99"/>
      <c r="B77" s="37"/>
      <c r="C77" s="37"/>
      <c r="D77" s="95"/>
      <c r="E77" s="96"/>
      <c r="F77" s="95"/>
      <c r="G77" s="37"/>
      <c r="H77" s="37"/>
      <c r="J77" s="97"/>
      <c r="K77" s="37"/>
      <c r="L77" s="98"/>
      <c r="M77" s="37"/>
      <c r="N77" s="37"/>
    </row>
    <row r="78" spans="1:14" x14ac:dyDescent="0.3">
      <c r="A78" s="99"/>
      <c r="B78" s="37"/>
      <c r="C78" s="37"/>
      <c r="D78" s="95"/>
      <c r="E78" s="96"/>
      <c r="F78" s="95"/>
      <c r="G78" s="37"/>
      <c r="H78" s="37"/>
      <c r="J78" s="97"/>
      <c r="K78" s="37"/>
      <c r="L78" s="98"/>
      <c r="M78" s="37"/>
      <c r="N78" s="37"/>
    </row>
    <row r="79" spans="1:14" x14ac:dyDescent="0.3">
      <c r="A79" s="99"/>
      <c r="B79" s="37"/>
      <c r="C79" s="37"/>
      <c r="D79" s="95"/>
      <c r="E79" s="96"/>
      <c r="F79" s="95"/>
      <c r="G79" s="37"/>
      <c r="H79" s="37"/>
      <c r="J79" s="97"/>
      <c r="K79" s="37"/>
      <c r="L79" s="98"/>
      <c r="M79" s="37"/>
      <c r="N79" s="37"/>
    </row>
    <row r="80" spans="1:14" x14ac:dyDescent="0.3">
      <c r="A80" s="99"/>
      <c r="B80" s="37"/>
      <c r="C80" s="37"/>
      <c r="D80" s="95"/>
      <c r="E80" s="96"/>
      <c r="F80" s="95"/>
      <c r="G80" s="37"/>
      <c r="H80" s="37"/>
      <c r="J80" s="97"/>
      <c r="K80" s="37"/>
      <c r="L80" s="98"/>
      <c r="M80" s="37"/>
      <c r="N80" s="37"/>
    </row>
    <row r="81" spans="1:17" x14ac:dyDescent="0.3">
      <c r="A81" s="99"/>
      <c r="B81" s="37"/>
      <c r="C81" s="37"/>
      <c r="D81" s="95"/>
      <c r="E81" s="96"/>
      <c r="F81" s="95"/>
      <c r="G81" s="37"/>
      <c r="H81" s="37"/>
      <c r="J81" s="97"/>
      <c r="K81" s="37"/>
      <c r="L81" s="98"/>
      <c r="M81" s="37"/>
      <c r="N81" s="37"/>
    </row>
    <row r="82" spans="1:17" x14ac:dyDescent="0.3">
      <c r="A82" s="99"/>
      <c r="B82" s="37"/>
      <c r="C82" s="37"/>
      <c r="D82" s="95"/>
      <c r="E82" s="96"/>
      <c r="F82" s="95"/>
      <c r="G82" s="37"/>
      <c r="H82" s="37"/>
      <c r="J82" s="97"/>
      <c r="K82" s="37"/>
      <c r="L82" s="98"/>
      <c r="M82" s="37"/>
      <c r="N82" s="37"/>
    </row>
    <row r="83" spans="1:17" x14ac:dyDescent="0.3">
      <c r="A83" s="99"/>
      <c r="B83" s="37"/>
      <c r="C83" s="37"/>
      <c r="D83" s="95"/>
      <c r="E83" s="96"/>
      <c r="F83" s="95"/>
      <c r="G83" s="37"/>
      <c r="H83" s="37"/>
      <c r="J83" s="97"/>
      <c r="K83" s="37"/>
      <c r="L83" s="98"/>
      <c r="M83" s="37"/>
      <c r="N83" s="37"/>
    </row>
    <row r="84" spans="1:17" x14ac:dyDescent="0.3">
      <c r="A84" s="99"/>
      <c r="B84" s="37"/>
      <c r="C84" s="37"/>
      <c r="D84" s="95"/>
      <c r="E84" s="96"/>
      <c r="F84" s="95"/>
      <c r="G84" s="37"/>
      <c r="H84" s="37"/>
      <c r="J84" s="97"/>
      <c r="K84" s="37"/>
      <c r="L84" s="98"/>
      <c r="M84" s="37"/>
      <c r="N84" s="37"/>
    </row>
    <row r="85" spans="1:17" x14ac:dyDescent="0.3">
      <c r="A85" s="99"/>
      <c r="B85" s="37"/>
      <c r="C85" s="37"/>
      <c r="D85" s="95"/>
      <c r="E85" s="96"/>
      <c r="F85" s="95"/>
      <c r="G85" s="37"/>
      <c r="H85" s="37"/>
      <c r="J85" s="97"/>
      <c r="K85" s="37"/>
      <c r="L85" s="98"/>
      <c r="M85" s="37"/>
      <c r="N85" s="37"/>
    </row>
    <row r="86" spans="1:17" x14ac:dyDescent="0.3">
      <c r="A86" s="99"/>
      <c r="B86" s="37"/>
      <c r="C86" s="37"/>
      <c r="D86" s="95"/>
      <c r="E86" s="96"/>
      <c r="F86" s="95"/>
      <c r="G86" s="37"/>
      <c r="H86" s="37"/>
      <c r="J86" s="97"/>
      <c r="K86" s="37"/>
      <c r="L86" s="98"/>
      <c r="M86" s="37"/>
      <c r="N86" s="37"/>
    </row>
    <row r="87" spans="1:17" ht="15" thickBot="1" x14ac:dyDescent="0.35">
      <c r="A87" s="55"/>
      <c r="B87" s="38"/>
      <c r="C87" s="38"/>
      <c r="D87" s="55"/>
      <c r="E87" s="100"/>
      <c r="F87" s="55"/>
      <c r="G87" s="38"/>
      <c r="H87" s="38"/>
      <c r="I87" s="82"/>
      <c r="J87" s="101"/>
      <c r="K87" s="38"/>
      <c r="L87" s="102"/>
      <c r="M87" s="38"/>
      <c r="N87" s="38"/>
      <c r="Q87" s="89"/>
    </row>
    <row r="88" spans="1:17" x14ac:dyDescent="0.3">
      <c r="A88" s="39" t="s">
        <v>69</v>
      </c>
      <c r="C88" s="37"/>
      <c r="D88" s="84">
        <v>7.0000000000000007E-2</v>
      </c>
      <c r="G88" s="39" t="s">
        <v>84</v>
      </c>
      <c r="I88" s="81"/>
      <c r="J88" s="81"/>
      <c r="K88" s="54"/>
      <c r="L88" s="103"/>
      <c r="M88" s="54"/>
    </row>
    <row r="89" spans="1:17" x14ac:dyDescent="0.3">
      <c r="C89" s="37"/>
      <c r="D89" s="84">
        <v>7.0000000000000007E-2</v>
      </c>
      <c r="G89" s="39" t="s">
        <v>85</v>
      </c>
      <c r="I89" s="81"/>
      <c r="J89" s="81"/>
      <c r="K89" s="54"/>
      <c r="L89" s="103"/>
      <c r="M89" s="54"/>
    </row>
    <row r="90" spans="1:17" x14ac:dyDescent="0.3">
      <c r="B90" s="39" t="s">
        <v>156</v>
      </c>
      <c r="D90" s="99"/>
      <c r="E90" s="104"/>
      <c r="F90" s="99"/>
      <c r="G90" s="54"/>
      <c r="H90" s="54"/>
      <c r="I90" s="81"/>
      <c r="J90" s="81"/>
      <c r="K90" s="54"/>
      <c r="L90" s="103"/>
      <c r="M90" s="54"/>
    </row>
    <row r="91" spans="1:17" x14ac:dyDescent="0.3">
      <c r="A91" s="105" t="s">
        <v>72</v>
      </c>
      <c r="B91" s="54"/>
      <c r="C91" s="54"/>
      <c r="D91" s="99"/>
      <c r="E91" s="104"/>
      <c r="F91" s="99"/>
      <c r="G91" s="54"/>
      <c r="H91" s="54"/>
      <c r="I91" s="81"/>
      <c r="J91" s="81"/>
      <c r="K91" s="54"/>
      <c r="L91" s="103"/>
      <c r="M91" s="54"/>
    </row>
    <row r="92" spans="1:17" x14ac:dyDescent="0.3">
      <c r="A92" s="105" t="s">
        <v>161</v>
      </c>
      <c r="B92" s="54"/>
      <c r="C92" s="54"/>
      <c r="D92" s="99"/>
      <c r="E92" s="104"/>
      <c r="F92" s="99"/>
      <c r="G92" s="54"/>
      <c r="H92" s="54"/>
      <c r="I92" s="81"/>
      <c r="J92" s="81"/>
      <c r="K92" s="54"/>
      <c r="L92" s="103"/>
      <c r="M92" s="54"/>
    </row>
    <row r="93" spans="1:17" x14ac:dyDescent="0.3">
      <c r="A93" s="39" t="s">
        <v>162</v>
      </c>
    </row>
    <row r="94" spans="1:17" x14ac:dyDescent="0.3">
      <c r="A94" s="53"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H64"/>
  <sheetViews>
    <sheetView workbookViewId="0">
      <selection sqref="A1:XFD1048576"/>
    </sheetView>
  </sheetViews>
  <sheetFormatPr defaultColWidth="9.109375" defaultRowHeight="14.4" x14ac:dyDescent="0.3"/>
  <cols>
    <col min="1" max="1" width="9.109375" style="39"/>
    <col min="2" max="2" width="12.44140625" style="39" customWidth="1"/>
    <col min="3" max="3" width="4" style="39" customWidth="1"/>
    <col min="4" max="5" width="3" style="39" customWidth="1"/>
    <col min="6" max="8" width="9.6640625" style="39" customWidth="1"/>
    <col min="9" max="9" width="9.109375" style="39"/>
    <col min="10" max="10" width="9.6640625" style="39" customWidth="1"/>
    <col min="11" max="12" width="12.44140625" style="39" customWidth="1"/>
    <col min="13" max="16384" width="9.109375" style="39"/>
  </cols>
  <sheetData>
    <row r="4" spans="1:8" ht="16.2" thickBot="1" x14ac:dyDescent="0.35">
      <c r="A4" s="57" t="s">
        <v>57</v>
      </c>
      <c r="B4" s="106"/>
      <c r="C4" s="58"/>
      <c r="D4" s="58"/>
      <c r="E4" s="58"/>
      <c r="F4" s="58"/>
      <c r="G4" s="58"/>
      <c r="H4" s="58"/>
    </row>
    <row r="5" spans="1:8" ht="45.6" thickBot="1" x14ac:dyDescent="0.35">
      <c r="A5" s="72" t="s">
        <v>4</v>
      </c>
      <c r="B5" s="107" t="s">
        <v>212</v>
      </c>
      <c r="C5" s="92"/>
      <c r="D5" s="108"/>
      <c r="E5" s="92"/>
      <c r="F5" s="92" t="s">
        <v>44</v>
      </c>
      <c r="G5" s="92" t="s">
        <v>213</v>
      </c>
      <c r="H5" s="92" t="s">
        <v>54</v>
      </c>
    </row>
    <row r="6" spans="1:8" ht="15" thickBot="1" x14ac:dyDescent="0.35">
      <c r="A6" s="72" t="s">
        <v>2</v>
      </c>
      <c r="B6" s="93">
        <f>SUM(B7:B61)</f>
        <v>2766328.6947409818</v>
      </c>
      <c r="C6" s="92"/>
      <c r="D6" s="108"/>
      <c r="E6" s="92"/>
      <c r="F6" s="92"/>
      <c r="G6" s="92"/>
      <c r="H6" s="92"/>
    </row>
    <row r="7" spans="1:8" x14ac:dyDescent="0.3">
      <c r="A7" s="95">
        <v>2018</v>
      </c>
      <c r="B7" s="37">
        <f t="shared" ref="B7:B38" si="0">H7*(1/((1+$C$62)^(A7-2018)))</f>
        <v>0</v>
      </c>
      <c r="C7" s="109"/>
      <c r="D7" s="110"/>
      <c r="E7" s="109"/>
      <c r="F7" s="37">
        <f>'C-Emmisions'!H33</f>
        <v>0</v>
      </c>
      <c r="G7" s="39">
        <v>0.18179999999999999</v>
      </c>
      <c r="H7" s="37">
        <f t="shared" ref="H7:H41" si="1">F7*G7</f>
        <v>0</v>
      </c>
    </row>
    <row r="8" spans="1:8" x14ac:dyDescent="0.3">
      <c r="A8" s="99">
        <v>2019</v>
      </c>
      <c r="B8" s="37">
        <f t="shared" si="0"/>
        <v>0</v>
      </c>
      <c r="C8" s="109"/>
      <c r="D8" s="110"/>
      <c r="E8" s="109"/>
      <c r="F8" s="37">
        <f>'C-Emmisions'!H34</f>
        <v>0</v>
      </c>
      <c r="G8" s="39">
        <f>$G$7</f>
        <v>0.18179999999999999</v>
      </c>
      <c r="H8" s="37">
        <f t="shared" si="1"/>
        <v>0</v>
      </c>
    </row>
    <row r="9" spans="1:8" x14ac:dyDescent="0.3">
      <c r="A9" s="99">
        <v>2020</v>
      </c>
      <c r="B9" s="37">
        <f t="shared" si="0"/>
        <v>0</v>
      </c>
      <c r="C9" s="109"/>
      <c r="D9" s="110"/>
      <c r="E9" s="109"/>
      <c r="F9" s="37">
        <f>'C-Emmisions'!H35</f>
        <v>0</v>
      </c>
      <c r="G9" s="39">
        <f t="shared" ref="G9:G41" si="2">$G$7</f>
        <v>0.18179999999999999</v>
      </c>
      <c r="H9" s="37">
        <f t="shared" si="1"/>
        <v>0</v>
      </c>
    </row>
    <row r="10" spans="1:8" x14ac:dyDescent="0.3">
      <c r="A10" s="99">
        <v>2021</v>
      </c>
      <c r="B10" s="37">
        <f t="shared" si="0"/>
        <v>0</v>
      </c>
      <c r="C10" s="109"/>
      <c r="D10" s="110"/>
      <c r="E10" s="109"/>
      <c r="F10" s="37">
        <f>'C-Emmisions'!H36</f>
        <v>0</v>
      </c>
      <c r="G10" s="39">
        <f t="shared" si="2"/>
        <v>0.18179999999999999</v>
      </c>
      <c r="H10" s="37">
        <f t="shared" si="1"/>
        <v>0</v>
      </c>
    </row>
    <row r="11" spans="1:8" x14ac:dyDescent="0.3">
      <c r="A11" s="99">
        <v>2022</v>
      </c>
      <c r="B11" s="37">
        <f t="shared" si="0"/>
        <v>0</v>
      </c>
      <c r="C11" s="109"/>
      <c r="D11" s="110"/>
      <c r="E11" s="109"/>
      <c r="F11" s="37">
        <f>'C-Emmisions'!H37</f>
        <v>0</v>
      </c>
      <c r="G11" s="39">
        <f t="shared" si="2"/>
        <v>0.18179999999999999</v>
      </c>
      <c r="H11" s="37">
        <f t="shared" si="1"/>
        <v>0</v>
      </c>
    </row>
    <row r="12" spans="1:8" x14ac:dyDescent="0.3">
      <c r="A12" s="99">
        <v>2023</v>
      </c>
      <c r="B12" s="37">
        <f t="shared" si="0"/>
        <v>0</v>
      </c>
      <c r="C12" s="109"/>
      <c r="D12" s="110"/>
      <c r="E12" s="109"/>
      <c r="F12" s="37">
        <f>'C-Emmisions'!H38</f>
        <v>0</v>
      </c>
      <c r="G12" s="39">
        <f t="shared" si="2"/>
        <v>0.18179999999999999</v>
      </c>
      <c r="H12" s="37">
        <f t="shared" si="1"/>
        <v>0</v>
      </c>
    </row>
    <row r="13" spans="1:8" x14ac:dyDescent="0.3">
      <c r="A13" s="99">
        <v>2024</v>
      </c>
      <c r="B13" s="37">
        <f t="shared" si="0"/>
        <v>0</v>
      </c>
      <c r="C13" s="109"/>
      <c r="D13" s="110"/>
      <c r="E13" s="109"/>
      <c r="F13" s="37">
        <f>'C-Emmisions'!H39</f>
        <v>0</v>
      </c>
      <c r="G13" s="39">
        <f t="shared" si="2"/>
        <v>0.18179999999999999</v>
      </c>
      <c r="H13" s="37">
        <f t="shared" si="1"/>
        <v>0</v>
      </c>
    </row>
    <row r="14" spans="1:8" x14ac:dyDescent="0.3">
      <c r="A14" s="99">
        <v>2025</v>
      </c>
      <c r="B14" s="37">
        <f t="shared" si="0"/>
        <v>0</v>
      </c>
      <c r="C14" s="109"/>
      <c r="D14" s="110"/>
      <c r="E14" s="109"/>
      <c r="F14" s="37">
        <f>'C-Emmisions'!H40</f>
        <v>0</v>
      </c>
      <c r="G14" s="39">
        <f t="shared" si="2"/>
        <v>0.18179999999999999</v>
      </c>
      <c r="H14" s="37">
        <f t="shared" si="1"/>
        <v>0</v>
      </c>
    </row>
    <row r="15" spans="1:8" x14ac:dyDescent="0.3">
      <c r="A15" s="99">
        <v>2026</v>
      </c>
      <c r="B15" s="37">
        <f t="shared" si="0"/>
        <v>0</v>
      </c>
      <c r="C15" s="109"/>
      <c r="D15" s="110"/>
      <c r="E15" s="109"/>
      <c r="F15" s="37">
        <f>'C-Emmisions'!H41</f>
        <v>0</v>
      </c>
      <c r="G15" s="39">
        <f t="shared" si="2"/>
        <v>0.18179999999999999</v>
      </c>
      <c r="H15" s="37">
        <f t="shared" si="1"/>
        <v>0</v>
      </c>
    </row>
    <row r="16" spans="1:8" x14ac:dyDescent="0.3">
      <c r="A16" s="99">
        <v>2027</v>
      </c>
      <c r="B16" s="37">
        <f t="shared" si="0"/>
        <v>0</v>
      </c>
      <c r="C16" s="109"/>
      <c r="D16" s="110"/>
      <c r="E16" s="109"/>
      <c r="F16" s="37">
        <f>'C-Emmisions'!H42</f>
        <v>0</v>
      </c>
      <c r="G16" s="39">
        <f t="shared" si="2"/>
        <v>0.18179999999999999</v>
      </c>
      <c r="H16" s="37">
        <f t="shared" si="1"/>
        <v>0</v>
      </c>
    </row>
    <row r="17" spans="1:8" x14ac:dyDescent="0.3">
      <c r="A17" s="99">
        <v>2028</v>
      </c>
      <c r="B17" s="37">
        <f t="shared" si="0"/>
        <v>203114.577605325</v>
      </c>
      <c r="C17" s="109"/>
      <c r="D17" s="110"/>
      <c r="E17" s="109"/>
      <c r="F17" s="37">
        <f>'C-Emmisions'!H43</f>
        <v>2197783.9220110667</v>
      </c>
      <c r="G17" s="39">
        <f t="shared" si="2"/>
        <v>0.18179999999999999</v>
      </c>
      <c r="H17" s="37">
        <f t="shared" si="1"/>
        <v>399557.11702161189</v>
      </c>
    </row>
    <row r="18" spans="1:8" x14ac:dyDescent="0.3">
      <c r="A18" s="99">
        <v>2029</v>
      </c>
      <c r="B18" s="37">
        <f t="shared" si="0"/>
        <v>191724.97512278333</v>
      </c>
      <c r="C18" s="109"/>
      <c r="D18" s="110"/>
      <c r="E18" s="109"/>
      <c r="F18" s="37">
        <f>'C-Emmisions'!H44</f>
        <v>2219761.7612311766</v>
      </c>
      <c r="G18" s="39">
        <f t="shared" si="2"/>
        <v>0.18179999999999999</v>
      </c>
      <c r="H18" s="37">
        <f t="shared" si="1"/>
        <v>403552.68819182785</v>
      </c>
    </row>
    <row r="19" spans="1:8" x14ac:dyDescent="0.3">
      <c r="A19" s="99">
        <v>2030</v>
      </c>
      <c r="B19" s="37">
        <f t="shared" si="0"/>
        <v>180974.04193832824</v>
      </c>
      <c r="C19" s="109"/>
      <c r="D19" s="110"/>
      <c r="E19" s="109"/>
      <c r="F19" s="37">
        <f>'C-Emmisions'!H45</f>
        <v>2241959.3788434886</v>
      </c>
      <c r="G19" s="39">
        <f t="shared" si="2"/>
        <v>0.18179999999999999</v>
      </c>
      <c r="H19" s="37">
        <f t="shared" si="1"/>
        <v>407588.21507374622</v>
      </c>
    </row>
    <row r="20" spans="1:8" x14ac:dyDescent="0.3">
      <c r="A20" s="99">
        <v>2031</v>
      </c>
      <c r="B20" s="37">
        <f t="shared" si="0"/>
        <v>170825.96482029112</v>
      </c>
      <c r="C20" s="109"/>
      <c r="D20" s="110"/>
      <c r="E20" s="109"/>
      <c r="F20" s="37">
        <f>'C-Emmisions'!H46</f>
        <v>2264378.9726319234</v>
      </c>
      <c r="G20" s="39">
        <f t="shared" si="2"/>
        <v>0.18179999999999999</v>
      </c>
      <c r="H20" s="37">
        <f t="shared" si="1"/>
        <v>411664.09722448367</v>
      </c>
    </row>
    <row r="21" spans="1:8" x14ac:dyDescent="0.3">
      <c r="A21" s="99">
        <v>2032</v>
      </c>
      <c r="B21" s="37">
        <f t="shared" si="0"/>
        <v>161246.93875560196</v>
      </c>
      <c r="C21" s="109"/>
      <c r="D21" s="110"/>
      <c r="E21" s="109"/>
      <c r="F21" s="37">
        <f>'C-Emmisions'!H47</f>
        <v>2287022.7623582431</v>
      </c>
      <c r="G21" s="39">
        <f t="shared" si="2"/>
        <v>0.18179999999999999</v>
      </c>
      <c r="H21" s="37">
        <f t="shared" si="1"/>
        <v>415780.73819672858</v>
      </c>
    </row>
    <row r="22" spans="1:8" x14ac:dyDescent="0.3">
      <c r="A22" s="99">
        <v>2033</v>
      </c>
      <c r="B22" s="37">
        <f t="shared" si="0"/>
        <v>152205.05433939991</v>
      </c>
      <c r="C22" s="109"/>
      <c r="D22" s="110"/>
      <c r="E22" s="109"/>
      <c r="F22" s="37">
        <f>'C-Emmisions'!H48</f>
        <v>2309892.989981825</v>
      </c>
      <c r="G22" s="39">
        <f t="shared" si="2"/>
        <v>0.18179999999999999</v>
      </c>
      <c r="H22" s="37">
        <f t="shared" si="1"/>
        <v>419938.54557869578</v>
      </c>
    </row>
    <row r="23" spans="1:8" x14ac:dyDescent="0.3">
      <c r="A23" s="99">
        <v>2034</v>
      </c>
      <c r="B23" s="37">
        <f t="shared" si="0"/>
        <v>143670.19147924669</v>
      </c>
      <c r="C23" s="109"/>
      <c r="D23" s="110"/>
      <c r="E23" s="109"/>
      <c r="F23" s="37">
        <f>'C-Emmisions'!H49</f>
        <v>2332991.9198816433</v>
      </c>
      <c r="G23" s="39">
        <f t="shared" si="2"/>
        <v>0.18179999999999999</v>
      </c>
      <c r="H23" s="37">
        <f t="shared" si="1"/>
        <v>424137.93103448272</v>
      </c>
    </row>
    <row r="24" spans="1:8" x14ac:dyDescent="0.3">
      <c r="A24" s="99">
        <v>2035</v>
      </c>
      <c r="B24" s="37">
        <f t="shared" si="0"/>
        <v>135613.91905984969</v>
      </c>
      <c r="C24" s="109"/>
      <c r="D24" s="110"/>
      <c r="E24" s="109"/>
      <c r="F24" s="37">
        <f>'C-Emmisions'!H50</f>
        <v>2356321.8390804599</v>
      </c>
      <c r="G24" s="39">
        <f t="shared" si="2"/>
        <v>0.18179999999999999</v>
      </c>
      <c r="H24" s="37">
        <f t="shared" si="1"/>
        <v>428379.31034482759</v>
      </c>
    </row>
    <row r="25" spans="1:8" x14ac:dyDescent="0.3">
      <c r="A25" s="99">
        <v>2036</v>
      </c>
      <c r="B25" s="37">
        <f t="shared" si="0"/>
        <v>128009.40023406371</v>
      </c>
      <c r="C25" s="109"/>
      <c r="D25" s="110"/>
      <c r="E25" s="109"/>
      <c r="F25" s="37">
        <f>'C-Emmisions'!H51</f>
        <v>2379885.0574712646</v>
      </c>
      <c r="G25" s="39">
        <f t="shared" si="2"/>
        <v>0.18179999999999999</v>
      </c>
      <c r="H25" s="37">
        <f t="shared" si="1"/>
        <v>432663.10344827588</v>
      </c>
    </row>
    <row r="26" spans="1:8" x14ac:dyDescent="0.3">
      <c r="A26" s="99">
        <v>2037</v>
      </c>
      <c r="B26" s="37">
        <f t="shared" si="0"/>
        <v>120831.30302467696</v>
      </c>
      <c r="C26" s="109"/>
      <c r="D26" s="110"/>
      <c r="E26" s="109"/>
      <c r="F26" s="37">
        <f>'C-Emmisions'!H52</f>
        <v>2403683.9080459774</v>
      </c>
      <c r="G26" s="39">
        <f t="shared" si="2"/>
        <v>0.18179999999999999</v>
      </c>
      <c r="H26" s="37">
        <f t="shared" si="1"/>
        <v>436989.73448275868</v>
      </c>
    </row>
    <row r="27" spans="1:8" x14ac:dyDescent="0.3">
      <c r="A27" s="99">
        <v>2038</v>
      </c>
      <c r="B27" s="37">
        <f t="shared" si="0"/>
        <v>114055.71593918104</v>
      </c>
      <c r="C27" s="109"/>
      <c r="D27" s="110"/>
      <c r="E27" s="109"/>
      <c r="F27" s="37">
        <f>'C-Emmisions'!H53</f>
        <v>2427720.7471264368</v>
      </c>
      <c r="G27" s="39">
        <f t="shared" si="2"/>
        <v>0.18179999999999999</v>
      </c>
      <c r="H27" s="37">
        <f t="shared" si="1"/>
        <v>441359.63182758616</v>
      </c>
    </row>
    <row r="28" spans="1:8" x14ac:dyDescent="0.3">
      <c r="A28" s="99">
        <v>2039</v>
      </c>
      <c r="B28" s="37">
        <f t="shared" si="0"/>
        <v>107660.06831642323</v>
      </c>
      <c r="C28" s="109"/>
      <c r="D28" s="110"/>
      <c r="E28" s="109"/>
      <c r="F28" s="37">
        <f>'C-Emmisions'!H54</f>
        <v>2451997.9545977013</v>
      </c>
      <c r="G28" s="39">
        <f t="shared" si="2"/>
        <v>0.18179999999999999</v>
      </c>
      <c r="H28" s="37">
        <f t="shared" si="1"/>
        <v>445773.22814586206</v>
      </c>
    </row>
    <row r="29" spans="1:8" x14ac:dyDescent="0.3">
      <c r="A29" s="99">
        <v>2040</v>
      </c>
      <c r="B29" s="37">
        <f t="shared" si="0"/>
        <v>101623.05513980138</v>
      </c>
      <c r="C29" s="109"/>
      <c r="D29" s="110"/>
      <c r="E29" s="109"/>
      <c r="F29" s="37">
        <f>'C-Emmisions'!H55</f>
        <v>2476517.9341436783</v>
      </c>
      <c r="G29" s="39">
        <f t="shared" si="2"/>
        <v>0.18179999999999999</v>
      </c>
      <c r="H29" s="37">
        <f t="shared" si="1"/>
        <v>450230.96042732068</v>
      </c>
    </row>
    <row r="30" spans="1:8" x14ac:dyDescent="0.3">
      <c r="A30" s="99">
        <v>2041</v>
      </c>
      <c r="B30" s="37">
        <f t="shared" si="0"/>
        <v>95924.566066541491</v>
      </c>
      <c r="C30" s="109"/>
      <c r="D30" s="110"/>
      <c r="E30" s="109"/>
      <c r="F30" s="37">
        <f>'C-Emmisions'!H56</f>
        <v>2501283.1134851156</v>
      </c>
      <c r="G30" s="39">
        <f t="shared" si="2"/>
        <v>0.18179999999999999</v>
      </c>
      <c r="H30" s="37">
        <f t="shared" si="1"/>
        <v>454733.27003159397</v>
      </c>
    </row>
    <row r="31" spans="1:8" x14ac:dyDescent="0.3">
      <c r="A31" s="99">
        <v>2042</v>
      </c>
      <c r="B31" s="37">
        <f t="shared" si="0"/>
        <v>90545.618436641933</v>
      </c>
      <c r="C31" s="109"/>
      <c r="D31" s="110"/>
      <c r="E31" s="109"/>
      <c r="F31" s="37">
        <f>'C-Emmisions'!H57</f>
        <v>2526295.9446199657</v>
      </c>
      <c r="G31" s="39">
        <f t="shared" si="2"/>
        <v>0.18179999999999999</v>
      </c>
      <c r="H31" s="37">
        <f t="shared" si="1"/>
        <v>459280.60273190972</v>
      </c>
    </row>
    <row r="32" spans="1:8" x14ac:dyDescent="0.3">
      <c r="A32" s="99">
        <v>2043</v>
      </c>
      <c r="B32" s="37">
        <f t="shared" si="0"/>
        <v>85468.294038325592</v>
      </c>
      <c r="C32" s="109"/>
      <c r="D32" s="110"/>
      <c r="E32" s="109"/>
      <c r="F32" s="37">
        <f>'C-Emmisions'!H58</f>
        <v>2551558.9040661664</v>
      </c>
      <c r="G32" s="39">
        <f t="shared" si="2"/>
        <v>0.18179999999999999</v>
      </c>
      <c r="H32" s="37">
        <f t="shared" si="1"/>
        <v>463873.408759229</v>
      </c>
    </row>
    <row r="33" spans="1:8" x14ac:dyDescent="0.3">
      <c r="A33" s="99">
        <v>2044</v>
      </c>
      <c r="B33" s="37">
        <f t="shared" si="0"/>
        <v>80675.679419354085</v>
      </c>
      <c r="C33" s="109"/>
      <c r="D33" s="110"/>
      <c r="E33" s="109"/>
      <c r="F33" s="37">
        <f>'C-Emmisions'!H59</f>
        <v>2577074.4931068281</v>
      </c>
      <c r="G33" s="39">
        <f t="shared" si="2"/>
        <v>0.18179999999999999</v>
      </c>
      <c r="H33" s="37">
        <f t="shared" si="1"/>
        <v>468512.14284682134</v>
      </c>
    </row>
    <row r="34" spans="1:8" x14ac:dyDescent="0.3">
      <c r="A34" s="99">
        <v>2045</v>
      </c>
      <c r="B34" s="37">
        <f t="shared" si="0"/>
        <v>76151.809545371594</v>
      </c>
      <c r="C34" s="109"/>
      <c r="D34" s="110"/>
      <c r="E34" s="109"/>
      <c r="F34" s="37">
        <f>'C-Emmisions'!H60</f>
        <v>2602845.2380378963</v>
      </c>
      <c r="G34" s="39">
        <f t="shared" si="2"/>
        <v>0.18179999999999999</v>
      </c>
      <c r="H34" s="37">
        <f t="shared" si="1"/>
        <v>473197.26427528955</v>
      </c>
    </row>
    <row r="35" spans="1:8" x14ac:dyDescent="0.3">
      <c r="A35" s="99">
        <v>2046</v>
      </c>
      <c r="B35" s="37">
        <f t="shared" si="0"/>
        <v>71881.614617593732</v>
      </c>
      <c r="C35" s="109"/>
      <c r="D35" s="110"/>
      <c r="E35" s="109"/>
      <c r="F35" s="37">
        <f>'C-Emmisions'!H61</f>
        <v>2628873.6904182746</v>
      </c>
      <c r="G35" s="39">
        <f t="shared" si="2"/>
        <v>0.18179999999999999</v>
      </c>
      <c r="H35" s="37">
        <f t="shared" si="1"/>
        <v>477929.2369180423</v>
      </c>
    </row>
    <row r="36" spans="1:8" x14ac:dyDescent="0.3">
      <c r="A36" s="99">
        <v>2047</v>
      </c>
      <c r="B36" s="37">
        <f t="shared" si="0"/>
        <v>67850.869872681942</v>
      </c>
      <c r="C36" s="109"/>
      <c r="D36" s="110"/>
      <c r="E36" s="109"/>
      <c r="F36" s="37">
        <f>'C-Emmisions'!H62</f>
        <v>2655162.4273224575</v>
      </c>
      <c r="G36" s="39">
        <f t="shared" si="2"/>
        <v>0.18179999999999999</v>
      </c>
      <c r="H36" s="37">
        <f t="shared" si="1"/>
        <v>482708.52928722277</v>
      </c>
    </row>
    <row r="37" spans="1:8" x14ac:dyDescent="0.3">
      <c r="A37" s="99">
        <v>2048</v>
      </c>
      <c r="B37" s="37">
        <f t="shared" si="0"/>
        <v>64046.148197578288</v>
      </c>
      <c r="C37" s="109"/>
      <c r="D37" s="110"/>
      <c r="E37" s="109"/>
      <c r="F37" s="37">
        <f>'C-Emmisions'!H63</f>
        <v>2681714.0515956823</v>
      </c>
      <c r="G37" s="39">
        <f t="shared" si="2"/>
        <v>0.18179999999999999</v>
      </c>
      <c r="H37" s="37">
        <f t="shared" si="1"/>
        <v>487535.61458009499</v>
      </c>
    </row>
    <row r="38" spans="1:8" x14ac:dyDescent="0.3">
      <c r="A38" s="99">
        <v>2049</v>
      </c>
      <c r="B38" s="37">
        <f t="shared" si="0"/>
        <v>60454.775401452389</v>
      </c>
      <c r="C38" s="109"/>
      <c r="D38" s="110"/>
      <c r="E38" s="109"/>
      <c r="F38" s="37">
        <f>'C-Emmisions'!H64</f>
        <v>2708531.1921116393</v>
      </c>
      <c r="G38" s="39">
        <f t="shared" si="2"/>
        <v>0.18179999999999999</v>
      </c>
      <c r="H38" s="37">
        <f t="shared" si="1"/>
        <v>492410.97072589601</v>
      </c>
    </row>
    <row r="39" spans="1:8" x14ac:dyDescent="0.3">
      <c r="A39" s="99">
        <v>2050</v>
      </c>
      <c r="B39" s="37">
        <f t="shared" ref="B39:B41" si="3">H39*(1/((1+$C$62)^(A39-2018)))</f>
        <v>57064.787995763465</v>
      </c>
      <c r="C39" s="109"/>
      <c r="D39" s="110"/>
      <c r="E39" s="109"/>
      <c r="F39" s="37">
        <f>'C-Emmisions'!H65</f>
        <v>2735616.5040327553</v>
      </c>
      <c r="G39" s="39">
        <f t="shared" si="2"/>
        <v>0.18179999999999999</v>
      </c>
      <c r="H39" s="37">
        <f t="shared" si="1"/>
        <v>497335.08043315489</v>
      </c>
    </row>
    <row r="40" spans="1:8" x14ac:dyDescent="0.3">
      <c r="A40" s="99">
        <v>2051</v>
      </c>
      <c r="B40" s="37">
        <f t="shared" si="3"/>
        <v>53864.893341795439</v>
      </c>
      <c r="C40" s="109"/>
      <c r="D40" s="110"/>
      <c r="E40" s="109"/>
      <c r="F40" s="37">
        <f>'C-Emmisions'!H66</f>
        <v>2762972.6690730834</v>
      </c>
      <c r="G40" s="39">
        <f t="shared" si="2"/>
        <v>0.18179999999999999</v>
      </c>
      <c r="H40" s="37">
        <f t="shared" si="1"/>
        <v>502308.43123748654</v>
      </c>
    </row>
    <row r="41" spans="1:8" x14ac:dyDescent="0.3">
      <c r="A41" s="99">
        <v>2052</v>
      </c>
      <c r="B41" s="37">
        <f t="shared" si="3"/>
        <v>50844.432032909717</v>
      </c>
      <c r="C41" s="109"/>
      <c r="D41" s="110"/>
      <c r="E41" s="109"/>
      <c r="F41" s="37">
        <f>'C-Emmisions'!H67</f>
        <v>2790602.3957638144</v>
      </c>
      <c r="G41" s="39">
        <f t="shared" si="2"/>
        <v>0.18179999999999999</v>
      </c>
      <c r="H41" s="37">
        <f t="shared" si="1"/>
        <v>507331.51554986142</v>
      </c>
    </row>
    <row r="42" spans="1:8" x14ac:dyDescent="0.3">
      <c r="A42" s="99"/>
      <c r="B42" s="37"/>
      <c r="C42" s="109"/>
      <c r="D42" s="110"/>
      <c r="E42" s="109"/>
      <c r="F42" s="37"/>
      <c r="H42" s="37"/>
    </row>
    <row r="43" spans="1:8" x14ac:dyDescent="0.3">
      <c r="A43" s="99"/>
      <c r="B43" s="37"/>
      <c r="C43" s="109"/>
      <c r="D43" s="110"/>
      <c r="E43" s="109"/>
      <c r="F43" s="37"/>
      <c r="H43" s="37"/>
    </row>
    <row r="44" spans="1:8" x14ac:dyDescent="0.3">
      <c r="A44" s="99"/>
      <c r="B44" s="37"/>
      <c r="C44" s="109"/>
      <c r="D44" s="110"/>
      <c r="E44" s="109"/>
      <c r="F44" s="37"/>
      <c r="H44" s="37"/>
    </row>
    <row r="45" spans="1:8" x14ac:dyDescent="0.3">
      <c r="A45" s="99"/>
      <c r="B45" s="37"/>
      <c r="C45" s="109"/>
      <c r="D45" s="110"/>
      <c r="E45" s="109"/>
      <c r="F45" s="37"/>
      <c r="H45" s="37"/>
    </row>
    <row r="46" spans="1:8" x14ac:dyDescent="0.3">
      <c r="A46" s="99"/>
      <c r="B46" s="37"/>
      <c r="C46" s="109"/>
      <c r="D46" s="110"/>
      <c r="E46" s="109"/>
      <c r="F46" s="37"/>
      <c r="H46" s="37"/>
    </row>
    <row r="47" spans="1:8" x14ac:dyDescent="0.3">
      <c r="A47" s="99"/>
      <c r="B47" s="37"/>
      <c r="C47" s="109"/>
      <c r="D47" s="110"/>
      <c r="E47" s="109"/>
      <c r="F47" s="37"/>
      <c r="H47" s="37"/>
    </row>
    <row r="48" spans="1:8" x14ac:dyDescent="0.3">
      <c r="A48" s="99"/>
      <c r="B48" s="37"/>
      <c r="C48" s="109"/>
      <c r="D48" s="110"/>
      <c r="E48" s="109"/>
      <c r="F48" s="37"/>
      <c r="H48" s="37"/>
    </row>
    <row r="49" spans="1:8" x14ac:dyDescent="0.3">
      <c r="A49" s="99"/>
      <c r="B49" s="37"/>
      <c r="C49" s="109"/>
      <c r="D49" s="110"/>
      <c r="E49" s="109"/>
      <c r="F49" s="37"/>
      <c r="H49" s="37"/>
    </row>
    <row r="50" spans="1:8" x14ac:dyDescent="0.3">
      <c r="A50" s="99"/>
      <c r="B50" s="37"/>
      <c r="C50" s="109"/>
      <c r="D50" s="110"/>
      <c r="E50" s="109"/>
      <c r="F50" s="37"/>
      <c r="H50" s="37"/>
    </row>
    <row r="51" spans="1:8" x14ac:dyDescent="0.3">
      <c r="A51" s="99"/>
      <c r="B51" s="37"/>
      <c r="C51" s="109"/>
      <c r="D51" s="110"/>
      <c r="E51" s="109"/>
      <c r="F51" s="37"/>
      <c r="H51" s="37"/>
    </row>
    <row r="52" spans="1:8" x14ac:dyDescent="0.3">
      <c r="A52" s="99"/>
      <c r="B52" s="37"/>
      <c r="C52" s="109"/>
      <c r="D52" s="110"/>
      <c r="E52" s="109"/>
      <c r="F52" s="37"/>
      <c r="H52" s="37"/>
    </row>
    <row r="53" spans="1:8" x14ac:dyDescent="0.3">
      <c r="A53" s="99"/>
      <c r="B53" s="37"/>
      <c r="C53" s="109"/>
      <c r="D53" s="110"/>
      <c r="E53" s="109"/>
      <c r="F53" s="37"/>
      <c r="H53" s="37"/>
    </row>
    <row r="54" spans="1:8" x14ac:dyDescent="0.3">
      <c r="A54" s="99"/>
      <c r="B54" s="37"/>
      <c r="C54" s="109"/>
      <c r="D54" s="110"/>
      <c r="E54" s="109"/>
      <c r="F54" s="37"/>
      <c r="H54" s="37"/>
    </row>
    <row r="55" spans="1:8" x14ac:dyDescent="0.3">
      <c r="A55" s="99"/>
      <c r="B55" s="37"/>
      <c r="C55" s="109"/>
      <c r="D55" s="110"/>
      <c r="E55" s="109"/>
      <c r="F55" s="37"/>
      <c r="H55" s="37"/>
    </row>
    <row r="56" spans="1:8" x14ac:dyDescent="0.3">
      <c r="A56" s="99"/>
      <c r="B56" s="37"/>
      <c r="C56" s="109"/>
      <c r="D56" s="110"/>
      <c r="E56" s="109"/>
      <c r="F56" s="37"/>
      <c r="H56" s="37"/>
    </row>
    <row r="57" spans="1:8" x14ac:dyDescent="0.3">
      <c r="A57" s="99"/>
      <c r="B57" s="37"/>
      <c r="C57" s="109"/>
      <c r="D57" s="110"/>
      <c r="E57" s="109"/>
      <c r="F57" s="37"/>
      <c r="H57" s="37"/>
    </row>
    <row r="58" spans="1:8" x14ac:dyDescent="0.3">
      <c r="A58" s="99"/>
      <c r="B58" s="37"/>
      <c r="C58" s="109"/>
      <c r="D58" s="110"/>
      <c r="E58" s="109"/>
      <c r="F58" s="37"/>
      <c r="H58" s="37"/>
    </row>
    <row r="59" spans="1:8" x14ac:dyDescent="0.3">
      <c r="A59" s="99"/>
      <c r="B59" s="37"/>
      <c r="C59" s="109"/>
      <c r="D59" s="110"/>
      <c r="E59" s="109"/>
      <c r="F59" s="37"/>
      <c r="H59" s="37"/>
    </row>
    <row r="60" spans="1:8" x14ac:dyDescent="0.3">
      <c r="A60" s="99"/>
      <c r="B60" s="37"/>
      <c r="C60" s="109"/>
      <c r="D60" s="110"/>
      <c r="E60" s="109"/>
      <c r="F60" s="37"/>
      <c r="H60" s="37"/>
    </row>
    <row r="61" spans="1:8" ht="15" thickBot="1" x14ac:dyDescent="0.35">
      <c r="A61" s="55"/>
      <c r="B61" s="38"/>
      <c r="C61" s="111"/>
      <c r="D61" s="112"/>
      <c r="E61" s="111"/>
      <c r="F61" s="38"/>
      <c r="G61" s="82"/>
      <c r="H61" s="38"/>
    </row>
    <row r="62" spans="1:8" x14ac:dyDescent="0.3">
      <c r="A62" s="39" t="s">
        <v>69</v>
      </c>
      <c r="B62" s="37"/>
      <c r="C62" s="84">
        <v>7.0000000000000007E-2</v>
      </c>
      <c r="E62" s="113"/>
      <c r="F62" s="113"/>
      <c r="G62" s="113"/>
      <c r="H62" s="113"/>
    </row>
    <row r="63" spans="1:8" x14ac:dyDescent="0.3">
      <c r="A63" s="114" t="s">
        <v>86</v>
      </c>
      <c r="D63" s="84"/>
      <c r="E63" s="84"/>
    </row>
    <row r="64" spans="1:8" x14ac:dyDescent="0.3">
      <c r="B64" s="37" t="s">
        <v>163</v>
      </c>
      <c r="C64" s="113"/>
      <c r="D64" s="1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77"/>
  <sheetViews>
    <sheetView workbookViewId="0">
      <selection sqref="A1:XFD1048576"/>
    </sheetView>
  </sheetViews>
  <sheetFormatPr defaultColWidth="9.109375" defaultRowHeight="14.4" x14ac:dyDescent="0.3"/>
  <cols>
    <col min="1" max="1" width="9.109375" style="39"/>
    <col min="2" max="2" width="11.6640625" style="39" customWidth="1"/>
    <col min="3" max="3" width="4.5546875" style="39" customWidth="1"/>
    <col min="4" max="5" width="3" style="39" customWidth="1"/>
    <col min="6" max="8" width="9.6640625" style="39" customWidth="1"/>
    <col min="9" max="9" width="12.44140625" style="39" customWidth="1"/>
    <col min="10" max="16384" width="9.109375" style="39"/>
  </cols>
  <sheetData>
    <row r="2" spans="1:10" x14ac:dyDescent="0.3">
      <c r="A2" s="39" t="s">
        <v>88</v>
      </c>
    </row>
    <row r="3" spans="1:10" x14ac:dyDescent="0.3">
      <c r="A3" s="39" t="s">
        <v>201</v>
      </c>
    </row>
    <row r="5" spans="1:10" x14ac:dyDescent="0.3">
      <c r="B5" s="39" t="s">
        <v>55</v>
      </c>
      <c r="I5" s="53">
        <v>24</v>
      </c>
      <c r="J5" s="39" t="s">
        <v>48</v>
      </c>
    </row>
    <row r="6" spans="1:10" x14ac:dyDescent="0.3">
      <c r="B6" s="39" t="s">
        <v>50</v>
      </c>
      <c r="I6" s="39">
        <v>250</v>
      </c>
      <c r="J6" s="39" t="s">
        <v>51</v>
      </c>
    </row>
    <row r="7" spans="1:10" x14ac:dyDescent="0.3">
      <c r="B7" s="39" t="s">
        <v>82</v>
      </c>
      <c r="I7" s="52">
        <f>100/8.7</f>
        <v>11.494252873563219</v>
      </c>
      <c r="J7" s="39" t="s">
        <v>83</v>
      </c>
    </row>
    <row r="8" spans="1:10" x14ac:dyDescent="0.3">
      <c r="B8" s="39" t="s">
        <v>52</v>
      </c>
      <c r="I8" s="115">
        <f>I5*I6*I7</f>
        <v>68965.517241379319</v>
      </c>
      <c r="J8" s="39" t="s">
        <v>68</v>
      </c>
    </row>
    <row r="10" spans="1:10" x14ac:dyDescent="0.3">
      <c r="A10" s="39" t="s">
        <v>53</v>
      </c>
      <c r="G10" s="87">
        <f>'C-Emmisions'!I10</f>
        <v>0.01</v>
      </c>
    </row>
    <row r="11" spans="1:10" x14ac:dyDescent="0.3">
      <c r="A11" s="39" t="s">
        <v>202</v>
      </c>
    </row>
    <row r="14" spans="1:10" ht="16.2" thickBot="1" x14ac:dyDescent="0.35">
      <c r="A14" s="57" t="s">
        <v>56</v>
      </c>
      <c r="B14" s="57"/>
      <c r="C14" s="57"/>
      <c r="D14" s="57"/>
      <c r="E14" s="57"/>
      <c r="F14" s="57"/>
      <c r="G14" s="58"/>
      <c r="H14" s="58"/>
      <c r="I14" s="58"/>
    </row>
    <row r="15" spans="1:10" ht="58.2" thickBot="1" x14ac:dyDescent="0.35">
      <c r="A15" s="72" t="s">
        <v>4</v>
      </c>
      <c r="B15" s="90" t="s">
        <v>212</v>
      </c>
      <c r="C15" s="72"/>
      <c r="D15" s="75"/>
      <c r="E15" s="72"/>
      <c r="F15" s="92" t="s">
        <v>58</v>
      </c>
      <c r="G15" s="92" t="s">
        <v>214</v>
      </c>
      <c r="H15" s="92" t="s">
        <v>215</v>
      </c>
      <c r="I15" s="92" t="s">
        <v>90</v>
      </c>
    </row>
    <row r="16" spans="1:10" ht="15" thickBot="1" x14ac:dyDescent="0.35">
      <c r="A16" s="72" t="s">
        <v>2</v>
      </c>
      <c r="B16" s="93">
        <f>SUM(B17:B71)</f>
        <v>6584003.5271167653</v>
      </c>
      <c r="C16" s="72"/>
      <c r="D16" s="75"/>
      <c r="E16" s="72"/>
      <c r="F16" s="92"/>
      <c r="G16" s="92"/>
      <c r="H16" s="92"/>
      <c r="I16" s="92"/>
    </row>
    <row r="17" spans="1:9" x14ac:dyDescent="0.3">
      <c r="A17" s="94">
        <v>2018</v>
      </c>
      <c r="B17" s="37">
        <f t="shared" ref="B17:B48" si="0">I17*(1/((1+$C$72)^(A17-2018)))</f>
        <v>0</v>
      </c>
      <c r="C17" s="95"/>
      <c r="D17" s="96"/>
      <c r="E17" s="95"/>
      <c r="F17" s="37">
        <f>$I$8</f>
        <v>68965.517241379319</v>
      </c>
      <c r="G17" s="37"/>
      <c r="H17" s="116">
        <v>14.8</v>
      </c>
      <c r="I17" s="37">
        <f>G17*H17</f>
        <v>0</v>
      </c>
    </row>
    <row r="18" spans="1:9" x14ac:dyDescent="0.3">
      <c r="A18" s="99">
        <v>2019</v>
      </c>
      <c r="B18" s="37">
        <f t="shared" si="0"/>
        <v>0</v>
      </c>
      <c r="C18" s="95"/>
      <c r="D18" s="96"/>
      <c r="E18" s="95"/>
      <c r="F18" s="37">
        <f>F17</f>
        <v>68965.517241379319</v>
      </c>
      <c r="G18" s="37"/>
      <c r="H18" s="116">
        <f>$H$17</f>
        <v>14.8</v>
      </c>
      <c r="I18" s="37">
        <f t="shared" ref="I18:I51" si="1">G18*H18</f>
        <v>0</v>
      </c>
    </row>
    <row r="19" spans="1:9" x14ac:dyDescent="0.3">
      <c r="A19" s="99">
        <v>2020</v>
      </c>
      <c r="B19" s="37">
        <f t="shared" si="0"/>
        <v>0</v>
      </c>
      <c r="C19" s="95"/>
      <c r="D19" s="96"/>
      <c r="E19" s="95"/>
      <c r="F19" s="37">
        <f t="shared" ref="F19:F51" si="2">F18</f>
        <v>68965.517241379319</v>
      </c>
      <c r="G19" s="37"/>
      <c r="H19" s="116">
        <f t="shared" ref="H19:H51" si="3">$H$17</f>
        <v>14.8</v>
      </c>
      <c r="I19" s="37">
        <f t="shared" si="1"/>
        <v>0</v>
      </c>
    </row>
    <row r="20" spans="1:9" x14ac:dyDescent="0.3">
      <c r="A20" s="99">
        <v>2021</v>
      </c>
      <c r="B20" s="37">
        <f t="shared" si="0"/>
        <v>0</v>
      </c>
      <c r="C20" s="95"/>
      <c r="D20" s="96"/>
      <c r="E20" s="95"/>
      <c r="F20" s="37">
        <f t="shared" si="2"/>
        <v>68965.517241379319</v>
      </c>
      <c r="G20" s="37"/>
      <c r="H20" s="116">
        <f t="shared" si="3"/>
        <v>14.8</v>
      </c>
      <c r="I20" s="37">
        <f t="shared" si="1"/>
        <v>0</v>
      </c>
    </row>
    <row r="21" spans="1:9" x14ac:dyDescent="0.3">
      <c r="A21" s="99">
        <v>2022</v>
      </c>
      <c r="B21" s="37">
        <f t="shared" si="0"/>
        <v>0</v>
      </c>
      <c r="C21" s="95"/>
      <c r="D21" s="96"/>
      <c r="E21" s="95"/>
      <c r="F21" s="37">
        <f>F20</f>
        <v>68965.517241379319</v>
      </c>
      <c r="G21" s="37"/>
      <c r="H21" s="116">
        <f t="shared" si="3"/>
        <v>14.8</v>
      </c>
      <c r="I21" s="37">
        <f t="shared" si="1"/>
        <v>0</v>
      </c>
    </row>
    <row r="22" spans="1:9" x14ac:dyDescent="0.3">
      <c r="A22" s="99">
        <v>2023</v>
      </c>
      <c r="B22" s="37">
        <f t="shared" si="0"/>
        <v>0</v>
      </c>
      <c r="C22" s="95"/>
      <c r="D22" s="96"/>
      <c r="E22" s="95"/>
      <c r="F22" s="37">
        <f t="shared" si="2"/>
        <v>68965.517241379319</v>
      </c>
      <c r="G22" s="37"/>
      <c r="H22" s="116">
        <f t="shared" si="3"/>
        <v>14.8</v>
      </c>
      <c r="I22" s="37">
        <f t="shared" si="1"/>
        <v>0</v>
      </c>
    </row>
    <row r="23" spans="1:9" x14ac:dyDescent="0.3">
      <c r="A23" s="99">
        <v>2024</v>
      </c>
      <c r="B23" s="37">
        <f t="shared" si="0"/>
        <v>0</v>
      </c>
      <c r="C23" s="95"/>
      <c r="D23" s="96"/>
      <c r="E23" s="95"/>
      <c r="F23" s="37">
        <f t="shared" si="2"/>
        <v>68965.517241379319</v>
      </c>
      <c r="G23" s="37"/>
      <c r="H23" s="116">
        <f t="shared" si="3"/>
        <v>14.8</v>
      </c>
      <c r="I23" s="37">
        <f t="shared" si="1"/>
        <v>0</v>
      </c>
    </row>
    <row r="24" spans="1:9" x14ac:dyDescent="0.3">
      <c r="A24" s="99">
        <v>2025</v>
      </c>
      <c r="B24" s="37">
        <f t="shared" si="0"/>
        <v>0</v>
      </c>
      <c r="C24" s="95"/>
      <c r="D24" s="96"/>
      <c r="E24" s="95"/>
      <c r="F24" s="37">
        <f t="shared" si="2"/>
        <v>68965.517241379319</v>
      </c>
      <c r="G24" s="37"/>
      <c r="H24" s="116">
        <f t="shared" si="3"/>
        <v>14.8</v>
      </c>
      <c r="I24" s="37">
        <f t="shared" si="1"/>
        <v>0</v>
      </c>
    </row>
    <row r="25" spans="1:9" x14ac:dyDescent="0.3">
      <c r="A25" s="99">
        <v>2026</v>
      </c>
      <c r="B25" s="37">
        <f t="shared" si="0"/>
        <v>0</v>
      </c>
      <c r="C25" s="95"/>
      <c r="D25" s="96"/>
      <c r="E25" s="95"/>
      <c r="F25" s="37">
        <f t="shared" si="2"/>
        <v>68965.517241379319</v>
      </c>
      <c r="G25" s="37"/>
      <c r="H25" s="116">
        <f t="shared" si="3"/>
        <v>14.8</v>
      </c>
      <c r="I25" s="37">
        <f t="shared" si="1"/>
        <v>0</v>
      </c>
    </row>
    <row r="26" spans="1:9" x14ac:dyDescent="0.3">
      <c r="A26" s="99">
        <v>2027</v>
      </c>
      <c r="B26" s="37">
        <f t="shared" si="0"/>
        <v>0</v>
      </c>
      <c r="C26" s="95"/>
      <c r="D26" s="96"/>
      <c r="E26" s="95"/>
      <c r="F26" s="37">
        <f t="shared" si="2"/>
        <v>68965.517241379319</v>
      </c>
      <c r="G26" s="37"/>
      <c r="H26" s="116">
        <f t="shared" si="3"/>
        <v>14.8</v>
      </c>
      <c r="I26" s="37">
        <f t="shared" si="1"/>
        <v>0</v>
      </c>
    </row>
    <row r="27" spans="1:9" x14ac:dyDescent="0.3">
      <c r="A27" s="99">
        <v>2028</v>
      </c>
      <c r="B27" s="37">
        <f t="shared" si="0"/>
        <v>483956.49175864295</v>
      </c>
      <c r="C27" s="95"/>
      <c r="D27" s="96"/>
      <c r="E27" s="95"/>
      <c r="F27" s="37">
        <f t="shared" si="2"/>
        <v>68965.517241379319</v>
      </c>
      <c r="G27" s="37">
        <f>F27*(MIN(1.15,(1+$G$10)^(A27-2035)))</f>
        <v>64325.383083250737</v>
      </c>
      <c r="H27" s="116">
        <f t="shared" si="3"/>
        <v>14.8</v>
      </c>
      <c r="I27" s="37">
        <f t="shared" si="1"/>
        <v>952015.66963211098</v>
      </c>
    </row>
    <row r="28" spans="1:9" x14ac:dyDescent="0.3">
      <c r="A28" s="99">
        <v>2029</v>
      </c>
      <c r="B28" s="37">
        <f t="shared" si="0"/>
        <v>456818.74455722352</v>
      </c>
      <c r="C28" s="95"/>
      <c r="D28" s="96"/>
      <c r="E28" s="95"/>
      <c r="F28" s="37">
        <f t="shared" si="2"/>
        <v>68965.517241379319</v>
      </c>
      <c r="G28" s="37">
        <f t="shared" ref="G28:G51" si="4">F28*(MIN(1.15,(1+$G$10)^(A28-2035)))</f>
        <v>64968.636914083218</v>
      </c>
      <c r="H28" s="116">
        <f t="shared" si="3"/>
        <v>14.8</v>
      </c>
      <c r="I28" s="37">
        <f t="shared" si="1"/>
        <v>961535.82632843172</v>
      </c>
    </row>
    <row r="29" spans="1:9" x14ac:dyDescent="0.3">
      <c r="A29" s="99">
        <v>2030</v>
      </c>
      <c r="B29" s="37">
        <f t="shared" si="0"/>
        <v>431202.74018952897</v>
      </c>
      <c r="C29" s="95"/>
      <c r="D29" s="96"/>
      <c r="E29" s="95"/>
      <c r="F29" s="37">
        <f t="shared" si="2"/>
        <v>68965.517241379319</v>
      </c>
      <c r="G29" s="37">
        <f t="shared" si="4"/>
        <v>65618.323283224076</v>
      </c>
      <c r="H29" s="116">
        <f t="shared" si="3"/>
        <v>14.8</v>
      </c>
      <c r="I29" s="37">
        <f t="shared" si="1"/>
        <v>971151.18459171639</v>
      </c>
    </row>
    <row r="30" spans="1:9" x14ac:dyDescent="0.3">
      <c r="A30" s="99">
        <v>2031</v>
      </c>
      <c r="B30" s="37">
        <f t="shared" si="0"/>
        <v>407023.1472817047</v>
      </c>
      <c r="C30" s="95"/>
      <c r="D30" s="96"/>
      <c r="E30" s="95"/>
      <c r="F30" s="37">
        <f t="shared" si="2"/>
        <v>68965.517241379319</v>
      </c>
      <c r="G30" s="37">
        <f t="shared" si="4"/>
        <v>66274.506516056295</v>
      </c>
      <c r="H30" s="116">
        <f t="shared" si="3"/>
        <v>14.8</v>
      </c>
      <c r="I30" s="37">
        <f t="shared" si="1"/>
        <v>980862.69643763325</v>
      </c>
    </row>
    <row r="31" spans="1:9" x14ac:dyDescent="0.3">
      <c r="A31" s="99">
        <v>2032</v>
      </c>
      <c r="B31" s="37">
        <f t="shared" si="0"/>
        <v>384199.41939674946</v>
      </c>
      <c r="C31" s="95"/>
      <c r="D31" s="96"/>
      <c r="E31" s="95"/>
      <c r="F31" s="37">
        <f t="shared" si="2"/>
        <v>68965.517241379319</v>
      </c>
      <c r="G31" s="37">
        <f t="shared" si="4"/>
        <v>66937.251581216871</v>
      </c>
      <c r="H31" s="116">
        <f t="shared" si="3"/>
        <v>14.8</v>
      </c>
      <c r="I31" s="37">
        <f t="shared" si="1"/>
        <v>990671.32340200979</v>
      </c>
    </row>
    <row r="32" spans="1:9" x14ac:dyDescent="0.3">
      <c r="A32" s="99">
        <v>2033</v>
      </c>
      <c r="B32" s="37">
        <f t="shared" si="0"/>
        <v>362655.52672029613</v>
      </c>
      <c r="C32" s="95"/>
      <c r="D32" s="96"/>
      <c r="E32" s="95"/>
      <c r="F32" s="37">
        <f t="shared" si="2"/>
        <v>68965.517241379319</v>
      </c>
      <c r="G32" s="37">
        <f t="shared" si="4"/>
        <v>67606.624097029038</v>
      </c>
      <c r="H32" s="116">
        <f t="shared" si="3"/>
        <v>14.8</v>
      </c>
      <c r="I32" s="37">
        <f t="shared" si="1"/>
        <v>1000578.0366360298</v>
      </c>
    </row>
    <row r="33" spans="1:9" x14ac:dyDescent="0.3">
      <c r="A33" s="99">
        <v>2034</v>
      </c>
      <c r="B33" s="37">
        <f t="shared" si="0"/>
        <v>342319.70279205532</v>
      </c>
      <c r="C33" s="95"/>
      <c r="D33" s="96"/>
      <c r="E33" s="95"/>
      <c r="F33" s="37">
        <f t="shared" si="2"/>
        <v>68965.517241379319</v>
      </c>
      <c r="G33" s="37">
        <f t="shared" si="4"/>
        <v>68282.690337999331</v>
      </c>
      <c r="H33" s="116">
        <f t="shared" si="3"/>
        <v>14.8</v>
      </c>
      <c r="I33" s="37">
        <f t="shared" si="1"/>
        <v>1010583.8170023902</v>
      </c>
    </row>
    <row r="34" spans="1:9" x14ac:dyDescent="0.3">
      <c r="A34" s="99">
        <v>2035</v>
      </c>
      <c r="B34" s="37">
        <f t="shared" si="0"/>
        <v>323124.20543922973</v>
      </c>
      <c r="C34" s="95"/>
      <c r="D34" s="96"/>
      <c r="E34" s="95"/>
      <c r="F34" s="37">
        <f t="shared" si="2"/>
        <v>68965.517241379319</v>
      </c>
      <c r="G34" s="37">
        <f t="shared" si="4"/>
        <v>68965.517241379319</v>
      </c>
      <c r="H34" s="116">
        <f t="shared" si="3"/>
        <v>14.8</v>
      </c>
      <c r="I34" s="37">
        <f t="shared" si="1"/>
        <v>1020689.6551724139</v>
      </c>
    </row>
    <row r="35" spans="1:9" x14ac:dyDescent="0.3">
      <c r="A35" s="99">
        <v>2036</v>
      </c>
      <c r="B35" s="37">
        <f t="shared" si="0"/>
        <v>305005.0911155346</v>
      </c>
      <c r="C35" s="95"/>
      <c r="D35" s="96"/>
      <c r="E35" s="95"/>
      <c r="F35" s="37">
        <f t="shared" si="2"/>
        <v>68965.517241379319</v>
      </c>
      <c r="G35" s="37">
        <f t="shared" si="4"/>
        <v>69655.172413793116</v>
      </c>
      <c r="H35" s="116">
        <f t="shared" si="3"/>
        <v>14.8</v>
      </c>
      <c r="I35" s="37">
        <f t="shared" si="1"/>
        <v>1030896.5517241382</v>
      </c>
    </row>
    <row r="36" spans="1:9" x14ac:dyDescent="0.3">
      <c r="A36" s="99">
        <v>2037</v>
      </c>
      <c r="B36" s="37">
        <f t="shared" si="0"/>
        <v>287902.00189410272</v>
      </c>
      <c r="C36" s="95"/>
      <c r="D36" s="96"/>
      <c r="E36" s="95"/>
      <c r="F36" s="37">
        <f t="shared" si="2"/>
        <v>68965.517241379319</v>
      </c>
      <c r="G36" s="37">
        <f t="shared" si="4"/>
        <v>70351.724137931044</v>
      </c>
      <c r="H36" s="116">
        <f t="shared" si="3"/>
        <v>14.8</v>
      </c>
      <c r="I36" s="37">
        <f t="shared" si="1"/>
        <v>1041205.5172413795</v>
      </c>
    </row>
    <row r="37" spans="1:9" x14ac:dyDescent="0.3">
      <c r="A37" s="99">
        <v>2038</v>
      </c>
      <c r="B37" s="37">
        <f t="shared" si="0"/>
        <v>271757.96440471383</v>
      </c>
      <c r="C37" s="95"/>
      <c r="D37" s="96"/>
      <c r="E37" s="95"/>
      <c r="F37" s="37">
        <f t="shared" si="2"/>
        <v>68965.517241379319</v>
      </c>
      <c r="G37" s="37">
        <f t="shared" si="4"/>
        <v>71055.241379310348</v>
      </c>
      <c r="H37" s="116">
        <f t="shared" si="3"/>
        <v>14.8</v>
      </c>
      <c r="I37" s="37">
        <f t="shared" si="1"/>
        <v>1051617.5724137933</v>
      </c>
    </row>
    <row r="38" spans="1:9" x14ac:dyDescent="0.3">
      <c r="A38" s="99">
        <v>2039</v>
      </c>
      <c r="B38" s="37">
        <f t="shared" si="0"/>
        <v>256519.20004557096</v>
      </c>
      <c r="C38" s="95"/>
      <c r="D38" s="96"/>
      <c r="E38" s="95"/>
      <c r="F38" s="37">
        <f t="shared" si="2"/>
        <v>68965.517241379319</v>
      </c>
      <c r="G38" s="37">
        <f t="shared" si="4"/>
        <v>71765.793793103454</v>
      </c>
      <c r="H38" s="116">
        <f t="shared" si="3"/>
        <v>14.8</v>
      </c>
      <c r="I38" s="37">
        <f t="shared" si="1"/>
        <v>1062133.7481379311</v>
      </c>
    </row>
    <row r="39" spans="1:9" x14ac:dyDescent="0.3">
      <c r="A39" s="99">
        <v>2040</v>
      </c>
      <c r="B39" s="37">
        <f t="shared" si="0"/>
        <v>242134.9458374081</v>
      </c>
      <c r="C39" s="95"/>
      <c r="D39" s="96"/>
      <c r="E39" s="95"/>
      <c r="F39" s="37">
        <f t="shared" si="2"/>
        <v>68965.517241379319</v>
      </c>
      <c r="G39" s="37">
        <f t="shared" si="4"/>
        <v>72483.451731034482</v>
      </c>
      <c r="H39" s="116">
        <f t="shared" si="3"/>
        <v>14.8</v>
      </c>
      <c r="I39" s="37">
        <f t="shared" si="1"/>
        <v>1072755.0856193104</v>
      </c>
    </row>
    <row r="40" spans="1:9" x14ac:dyDescent="0.3">
      <c r="A40" s="99">
        <v>2041</v>
      </c>
      <c r="B40" s="37">
        <f t="shared" si="0"/>
        <v>228557.28532316093</v>
      </c>
      <c r="C40" s="95"/>
      <c r="D40" s="96"/>
      <c r="E40" s="95"/>
      <c r="F40" s="37">
        <f t="shared" si="2"/>
        <v>68965.517241379319</v>
      </c>
      <c r="G40" s="37">
        <f t="shared" si="4"/>
        <v>73208.286248344841</v>
      </c>
      <c r="H40" s="116">
        <f t="shared" si="3"/>
        <v>14.8</v>
      </c>
      <c r="I40" s="37">
        <f t="shared" si="1"/>
        <v>1083482.6364755037</v>
      </c>
    </row>
    <row r="41" spans="1:9" x14ac:dyDescent="0.3">
      <c r="A41" s="99">
        <v>2042</v>
      </c>
      <c r="B41" s="37">
        <f t="shared" si="0"/>
        <v>215740.98894989956</v>
      </c>
      <c r="C41" s="95"/>
      <c r="D41" s="96"/>
      <c r="E41" s="95"/>
      <c r="F41" s="37">
        <f t="shared" si="2"/>
        <v>68965.517241379319</v>
      </c>
      <c r="G41" s="37">
        <f t="shared" si="4"/>
        <v>73940.36911082828</v>
      </c>
      <c r="H41" s="116">
        <f t="shared" si="3"/>
        <v>14.8</v>
      </c>
      <c r="I41" s="37">
        <f t="shared" si="1"/>
        <v>1094317.4628402586</v>
      </c>
    </row>
    <row r="42" spans="1:9" x14ac:dyDescent="0.3">
      <c r="A42" s="99">
        <v>2043</v>
      </c>
      <c r="B42" s="37">
        <f t="shared" si="0"/>
        <v>203643.36340130708</v>
      </c>
      <c r="C42" s="95"/>
      <c r="D42" s="96"/>
      <c r="E42" s="95"/>
      <c r="F42" s="37">
        <f t="shared" si="2"/>
        <v>68965.517241379319</v>
      </c>
      <c r="G42" s="37">
        <f t="shared" si="4"/>
        <v>74679.772801936575</v>
      </c>
      <c r="H42" s="116">
        <f t="shared" si="3"/>
        <v>14.8</v>
      </c>
      <c r="I42" s="37">
        <f t="shared" si="1"/>
        <v>1105260.6374686614</v>
      </c>
    </row>
    <row r="43" spans="1:9" x14ac:dyDescent="0.3">
      <c r="A43" s="99">
        <v>2044</v>
      </c>
      <c r="B43" s="37">
        <f t="shared" si="0"/>
        <v>192224.1093788039</v>
      </c>
      <c r="C43" s="95"/>
      <c r="D43" s="96"/>
      <c r="E43" s="95"/>
      <c r="F43" s="37">
        <f t="shared" si="2"/>
        <v>68965.517241379319</v>
      </c>
      <c r="G43" s="37">
        <f t="shared" si="4"/>
        <v>75426.570529955949</v>
      </c>
      <c r="H43" s="116">
        <f t="shared" si="3"/>
        <v>14.8</v>
      </c>
      <c r="I43" s="37">
        <f t="shared" si="1"/>
        <v>1116313.243843348</v>
      </c>
    </row>
    <row r="44" spans="1:9" x14ac:dyDescent="0.3">
      <c r="A44" s="99">
        <v>2045</v>
      </c>
      <c r="B44" s="37">
        <f t="shared" si="0"/>
        <v>181445.18735756254</v>
      </c>
      <c r="C44" s="95"/>
      <c r="D44" s="96"/>
      <c r="E44" s="95"/>
      <c r="F44" s="37">
        <f t="shared" si="2"/>
        <v>68965.517241379319</v>
      </c>
      <c r="G44" s="37">
        <f t="shared" si="4"/>
        <v>76180.836235255512</v>
      </c>
      <c r="H44" s="116">
        <f t="shared" si="3"/>
        <v>14.8</v>
      </c>
      <c r="I44" s="37">
        <f t="shared" si="1"/>
        <v>1127476.3762817816</v>
      </c>
    </row>
    <row r="45" spans="1:9" x14ac:dyDescent="0.3">
      <c r="A45" s="99">
        <v>2046</v>
      </c>
      <c r="B45" s="37">
        <f t="shared" si="0"/>
        <v>171270.69087022255</v>
      </c>
      <c r="C45" s="95"/>
      <c r="D45" s="96"/>
      <c r="E45" s="95"/>
      <c r="F45" s="37">
        <f t="shared" si="2"/>
        <v>68965.517241379319</v>
      </c>
      <c r="G45" s="37">
        <f t="shared" si="4"/>
        <v>76942.644597608043</v>
      </c>
      <c r="H45" s="116">
        <f t="shared" si="3"/>
        <v>14.8</v>
      </c>
      <c r="I45" s="37">
        <f t="shared" si="1"/>
        <v>1138751.1400445991</v>
      </c>
    </row>
    <row r="46" spans="1:9" x14ac:dyDescent="0.3">
      <c r="A46" s="99">
        <v>2047</v>
      </c>
      <c r="B46" s="37">
        <f t="shared" si="0"/>
        <v>161666.72689619139</v>
      </c>
      <c r="C46" s="95"/>
      <c r="D46" s="96"/>
      <c r="E46" s="95"/>
      <c r="F46" s="37">
        <f t="shared" si="2"/>
        <v>68965.517241379319</v>
      </c>
      <c r="G46" s="37">
        <f t="shared" si="4"/>
        <v>77712.071043584132</v>
      </c>
      <c r="H46" s="116">
        <f t="shared" si="3"/>
        <v>14.8</v>
      </c>
      <c r="I46" s="37">
        <f t="shared" si="1"/>
        <v>1150138.6514450451</v>
      </c>
    </row>
    <row r="47" spans="1:9" x14ac:dyDescent="0.3">
      <c r="A47" s="99">
        <v>2048</v>
      </c>
      <c r="B47" s="37">
        <f t="shared" si="0"/>
        <v>152601.30295808724</v>
      </c>
      <c r="C47" s="95"/>
      <c r="D47" s="96"/>
      <c r="E47" s="95"/>
      <c r="F47" s="37">
        <f t="shared" si="2"/>
        <v>68965.517241379319</v>
      </c>
      <c r="G47" s="37">
        <f t="shared" si="4"/>
        <v>78489.191754019979</v>
      </c>
      <c r="H47" s="116">
        <f t="shared" si="3"/>
        <v>14.8</v>
      </c>
      <c r="I47" s="37">
        <f t="shared" si="1"/>
        <v>1161640.0379594958</v>
      </c>
    </row>
    <row r="48" spans="1:9" x14ac:dyDescent="0.3">
      <c r="A48" s="99">
        <v>2049</v>
      </c>
      <c r="B48" s="37">
        <f t="shared" si="0"/>
        <v>144044.22054922252</v>
      </c>
      <c r="C48" s="95"/>
      <c r="D48" s="96"/>
      <c r="E48" s="95"/>
      <c r="F48" s="37">
        <f t="shared" si="2"/>
        <v>68965.517241379319</v>
      </c>
      <c r="G48" s="37">
        <f t="shared" si="4"/>
        <v>79274.083671560191</v>
      </c>
      <c r="H48" s="116">
        <f t="shared" si="3"/>
        <v>14.8</v>
      </c>
      <c r="I48" s="37">
        <f t="shared" si="1"/>
        <v>1173256.4383390909</v>
      </c>
    </row>
    <row r="49" spans="1:9" x14ac:dyDescent="0.3">
      <c r="A49" s="99">
        <v>2050</v>
      </c>
      <c r="B49" s="37">
        <f t="shared" ref="B49:B51" si="5">I49*(1/((1+$C$72)^(A49-2018)))</f>
        <v>134682.34442828127</v>
      </c>
      <c r="C49" s="95"/>
      <c r="D49" s="96"/>
      <c r="E49" s="95"/>
      <c r="F49" s="37">
        <f t="shared" si="2"/>
        <v>68965.517241379319</v>
      </c>
      <c r="G49" s="37">
        <f t="shared" si="4"/>
        <v>79310.344827586217</v>
      </c>
      <c r="H49" s="116">
        <f t="shared" si="3"/>
        <v>14.8</v>
      </c>
      <c r="I49" s="37">
        <f t="shared" si="1"/>
        <v>1173793.1034482762</v>
      </c>
    </row>
    <row r="50" spans="1:9" x14ac:dyDescent="0.3">
      <c r="A50" s="99">
        <v>2051</v>
      </c>
      <c r="B50" s="37">
        <f t="shared" si="5"/>
        <v>125871.34993297316</v>
      </c>
      <c r="C50" s="95"/>
      <c r="D50" s="96"/>
      <c r="E50" s="95"/>
      <c r="F50" s="37">
        <f t="shared" si="2"/>
        <v>68965.517241379319</v>
      </c>
      <c r="G50" s="37">
        <f t="shared" si="4"/>
        <v>79310.344827586217</v>
      </c>
      <c r="H50" s="116">
        <f t="shared" si="3"/>
        <v>14.8</v>
      </c>
      <c r="I50" s="37">
        <f t="shared" si="1"/>
        <v>1173793.1034482762</v>
      </c>
    </row>
    <row r="51" spans="1:9" x14ac:dyDescent="0.3">
      <c r="A51" s="99">
        <v>2052</v>
      </c>
      <c r="B51" s="37">
        <f t="shared" si="5"/>
        <v>117636.77563829269</v>
      </c>
      <c r="C51" s="95"/>
      <c r="D51" s="96"/>
      <c r="E51" s="95"/>
      <c r="F51" s="37">
        <f t="shared" si="2"/>
        <v>68965.517241379319</v>
      </c>
      <c r="G51" s="37">
        <f t="shared" si="4"/>
        <v>79310.344827586217</v>
      </c>
      <c r="H51" s="116">
        <f t="shared" si="3"/>
        <v>14.8</v>
      </c>
      <c r="I51" s="37">
        <f t="shared" si="1"/>
        <v>1173793.1034482762</v>
      </c>
    </row>
    <row r="52" spans="1:9" x14ac:dyDescent="0.3">
      <c r="A52" s="99"/>
      <c r="B52" s="37"/>
      <c r="C52" s="95"/>
      <c r="D52" s="96"/>
      <c r="E52" s="95"/>
      <c r="F52" s="37"/>
      <c r="G52" s="37"/>
      <c r="H52" s="116"/>
      <c r="I52" s="37"/>
    </row>
    <row r="53" spans="1:9" x14ac:dyDescent="0.3">
      <c r="A53" s="99"/>
      <c r="B53" s="37"/>
      <c r="C53" s="95"/>
      <c r="D53" s="96"/>
      <c r="E53" s="95"/>
      <c r="F53" s="37"/>
      <c r="G53" s="37"/>
      <c r="H53" s="116"/>
      <c r="I53" s="37"/>
    </row>
    <row r="54" spans="1:9" x14ac:dyDescent="0.3">
      <c r="A54" s="99"/>
      <c r="B54" s="37"/>
      <c r="C54" s="95"/>
      <c r="D54" s="96"/>
      <c r="E54" s="95"/>
      <c r="F54" s="37"/>
      <c r="G54" s="37"/>
      <c r="H54" s="116"/>
      <c r="I54" s="37"/>
    </row>
    <row r="55" spans="1:9" x14ac:dyDescent="0.3">
      <c r="A55" s="99"/>
      <c r="B55" s="37"/>
      <c r="C55" s="95"/>
      <c r="D55" s="96"/>
      <c r="E55" s="95"/>
      <c r="F55" s="37"/>
      <c r="G55" s="37"/>
      <c r="H55" s="116"/>
      <c r="I55" s="37"/>
    </row>
    <row r="56" spans="1:9" x14ac:dyDescent="0.3">
      <c r="A56" s="99"/>
      <c r="B56" s="37"/>
      <c r="C56" s="95"/>
      <c r="D56" s="96"/>
      <c r="E56" s="95"/>
      <c r="F56" s="37"/>
      <c r="G56" s="37"/>
      <c r="H56" s="116"/>
      <c r="I56" s="37"/>
    </row>
    <row r="57" spans="1:9" x14ac:dyDescent="0.3">
      <c r="A57" s="99"/>
      <c r="B57" s="37"/>
      <c r="C57" s="95"/>
      <c r="D57" s="96"/>
      <c r="E57" s="95"/>
      <c r="F57" s="37"/>
      <c r="G57" s="37"/>
      <c r="H57" s="116"/>
      <c r="I57" s="37"/>
    </row>
    <row r="58" spans="1:9" x14ac:dyDescent="0.3">
      <c r="A58" s="99"/>
      <c r="B58" s="37"/>
      <c r="C58" s="95"/>
      <c r="D58" s="96"/>
      <c r="E58" s="95"/>
      <c r="F58" s="37"/>
      <c r="G58" s="37"/>
      <c r="H58" s="116"/>
      <c r="I58" s="37"/>
    </row>
    <row r="59" spans="1:9" x14ac:dyDescent="0.3">
      <c r="A59" s="99"/>
      <c r="B59" s="37"/>
      <c r="C59" s="95"/>
      <c r="D59" s="96"/>
      <c r="E59" s="95"/>
      <c r="F59" s="37"/>
      <c r="G59" s="37"/>
      <c r="H59" s="116"/>
      <c r="I59" s="37"/>
    </row>
    <row r="60" spans="1:9" x14ac:dyDescent="0.3">
      <c r="A60" s="99"/>
      <c r="B60" s="37"/>
      <c r="C60" s="95"/>
      <c r="D60" s="96"/>
      <c r="E60" s="95"/>
      <c r="F60" s="37"/>
      <c r="G60" s="37"/>
      <c r="H60" s="116"/>
      <c r="I60" s="37"/>
    </row>
    <row r="61" spans="1:9" x14ac:dyDescent="0.3">
      <c r="A61" s="99"/>
      <c r="B61" s="37"/>
      <c r="C61" s="95"/>
      <c r="D61" s="96"/>
      <c r="E61" s="95"/>
      <c r="F61" s="37"/>
      <c r="G61" s="37"/>
      <c r="H61" s="116"/>
      <c r="I61" s="37"/>
    </row>
    <row r="62" spans="1:9" x14ac:dyDescent="0.3">
      <c r="A62" s="99"/>
      <c r="B62" s="37"/>
      <c r="C62" s="95"/>
      <c r="D62" s="96"/>
      <c r="E62" s="95"/>
      <c r="F62" s="37"/>
      <c r="G62" s="37"/>
      <c r="H62" s="116"/>
      <c r="I62" s="37"/>
    </row>
    <row r="63" spans="1:9" x14ac:dyDescent="0.3">
      <c r="A63" s="99"/>
      <c r="B63" s="37"/>
      <c r="C63" s="95"/>
      <c r="D63" s="96"/>
      <c r="E63" s="95"/>
      <c r="F63" s="37"/>
      <c r="G63" s="37"/>
      <c r="H63" s="116"/>
      <c r="I63" s="37"/>
    </row>
    <row r="64" spans="1:9" x14ac:dyDescent="0.3">
      <c r="A64" s="99"/>
      <c r="B64" s="37"/>
      <c r="C64" s="95"/>
      <c r="D64" s="96"/>
      <c r="E64" s="95"/>
      <c r="F64" s="37"/>
      <c r="G64" s="37"/>
      <c r="H64" s="116"/>
      <c r="I64" s="37"/>
    </row>
    <row r="65" spans="1:9" x14ac:dyDescent="0.3">
      <c r="A65" s="99"/>
      <c r="B65" s="37"/>
      <c r="C65" s="95"/>
      <c r="D65" s="96"/>
      <c r="E65" s="95"/>
      <c r="F65" s="37"/>
      <c r="G65" s="37"/>
      <c r="H65" s="116"/>
      <c r="I65" s="37"/>
    </row>
    <row r="66" spans="1:9" x14ac:dyDescent="0.3">
      <c r="A66" s="99"/>
      <c r="B66" s="37"/>
      <c r="C66" s="95"/>
      <c r="D66" s="96"/>
      <c r="E66" s="95"/>
      <c r="F66" s="37"/>
      <c r="G66" s="37"/>
      <c r="H66" s="116"/>
      <c r="I66" s="37"/>
    </row>
    <row r="67" spans="1:9" x14ac:dyDescent="0.3">
      <c r="A67" s="99"/>
      <c r="B67" s="37"/>
      <c r="C67" s="95"/>
      <c r="D67" s="96"/>
      <c r="E67" s="95"/>
      <c r="F67" s="37"/>
      <c r="G67" s="37"/>
      <c r="H67" s="116"/>
      <c r="I67" s="37"/>
    </row>
    <row r="68" spans="1:9" x14ac:dyDescent="0.3">
      <c r="A68" s="99"/>
      <c r="B68" s="37"/>
      <c r="C68" s="95"/>
      <c r="D68" s="96"/>
      <c r="E68" s="95"/>
      <c r="F68" s="37"/>
      <c r="G68" s="37"/>
      <c r="H68" s="116"/>
      <c r="I68" s="37"/>
    </row>
    <row r="69" spans="1:9" x14ac:dyDescent="0.3">
      <c r="A69" s="99"/>
      <c r="B69" s="37"/>
      <c r="C69" s="95"/>
      <c r="D69" s="96"/>
      <c r="E69" s="95"/>
      <c r="F69" s="37"/>
      <c r="G69" s="37"/>
      <c r="H69" s="116"/>
      <c r="I69" s="37"/>
    </row>
    <row r="70" spans="1:9" x14ac:dyDescent="0.3">
      <c r="A70" s="99"/>
      <c r="B70" s="37"/>
      <c r="C70" s="95"/>
      <c r="D70" s="96"/>
      <c r="E70" s="95"/>
      <c r="F70" s="37"/>
      <c r="G70" s="37"/>
      <c r="H70" s="116"/>
      <c r="I70" s="37"/>
    </row>
    <row r="71" spans="1:9" ht="15" thickBot="1" x14ac:dyDescent="0.35">
      <c r="A71" s="55"/>
      <c r="B71" s="38"/>
      <c r="C71" s="55"/>
      <c r="D71" s="100"/>
      <c r="E71" s="55"/>
      <c r="F71" s="38"/>
      <c r="G71" s="38"/>
      <c r="H71" s="117"/>
      <c r="I71" s="38"/>
    </row>
    <row r="72" spans="1:9" x14ac:dyDescent="0.3">
      <c r="A72" s="39" t="s">
        <v>69</v>
      </c>
      <c r="C72" s="84">
        <v>7.0000000000000007E-2</v>
      </c>
      <c r="D72" s="84"/>
      <c r="F72" s="113"/>
      <c r="G72" s="113"/>
      <c r="H72" s="113"/>
      <c r="I72" s="113"/>
    </row>
    <row r="73" spans="1:9" x14ac:dyDescent="0.3">
      <c r="A73" s="39" t="s">
        <v>89</v>
      </c>
      <c r="B73" s="113"/>
      <c r="C73" s="113"/>
      <c r="D73" s="113"/>
      <c r="E73" s="113"/>
      <c r="F73" s="113"/>
      <c r="G73" s="113"/>
      <c r="H73" s="113"/>
      <c r="I73" s="113"/>
    </row>
    <row r="74" spans="1:9" x14ac:dyDescent="0.3">
      <c r="B74" s="39" t="s">
        <v>164</v>
      </c>
    </row>
    <row r="75" spans="1:9" x14ac:dyDescent="0.3">
      <c r="A75" s="39" t="s">
        <v>184</v>
      </c>
    </row>
    <row r="77" spans="1:9" x14ac:dyDescent="0.3">
      <c r="B77" s="113"/>
      <c r="C77" s="113"/>
      <c r="D77" s="113"/>
      <c r="E77" s="1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79"/>
  <sheetViews>
    <sheetView workbookViewId="0">
      <selection sqref="A1:XFD1048576"/>
    </sheetView>
  </sheetViews>
  <sheetFormatPr defaultColWidth="9.109375" defaultRowHeight="14.4" x14ac:dyDescent="0.3"/>
  <cols>
    <col min="1" max="1" width="9.109375" style="39"/>
    <col min="2" max="2" width="12.88671875" style="39" customWidth="1"/>
    <col min="3" max="3" width="4" style="39" customWidth="1"/>
    <col min="4" max="5" width="3" style="39" customWidth="1"/>
    <col min="6" max="6" width="11.109375" style="39" customWidth="1"/>
    <col min="7" max="7" width="13.109375" style="39" customWidth="1"/>
    <col min="8" max="9" width="12.44140625" style="39" customWidth="1"/>
    <col min="10" max="16384" width="9.109375" style="39"/>
  </cols>
  <sheetData>
    <row r="2" spans="1:9" x14ac:dyDescent="0.3">
      <c r="A2" s="39" t="s">
        <v>64</v>
      </c>
    </row>
    <row r="3" spans="1:9" x14ac:dyDescent="0.3">
      <c r="F3" s="39" t="s">
        <v>92</v>
      </c>
    </row>
    <row r="4" spans="1:9" x14ac:dyDescent="0.3">
      <c r="A4" s="39" t="s">
        <v>177</v>
      </c>
    </row>
    <row r="5" spans="1:9" x14ac:dyDescent="0.3">
      <c r="A5" s="39" t="s">
        <v>165</v>
      </c>
    </row>
    <row r="6" spans="1:9" x14ac:dyDescent="0.3">
      <c r="A6" s="39" t="s">
        <v>178</v>
      </c>
    </row>
    <row r="7" spans="1:9" x14ac:dyDescent="0.3">
      <c r="H7" s="118" t="s">
        <v>176</v>
      </c>
    </row>
    <row r="8" spans="1:9" x14ac:dyDescent="0.3">
      <c r="A8" s="64" t="s">
        <v>174</v>
      </c>
      <c r="H8" s="119">
        <f>H9+H10</f>
        <v>10150156</v>
      </c>
      <c r="I8" s="120"/>
    </row>
    <row r="9" spans="1:9" x14ac:dyDescent="0.3">
      <c r="B9" s="39" t="s">
        <v>172</v>
      </c>
      <c r="F9" s="39">
        <f>AVERAGE(35,35,39,35)</f>
        <v>36</v>
      </c>
      <c r="H9" s="121">
        <f>AVERAGE(5327428,6335611,5623024)</f>
        <v>5762021</v>
      </c>
      <c r="I9" s="120"/>
    </row>
    <row r="10" spans="1:9" x14ac:dyDescent="0.3">
      <c r="B10" s="39" t="s">
        <v>173</v>
      </c>
      <c r="F10" s="39">
        <f>ROUND(AVERAGE(19,19,19,28),0)</f>
        <v>21</v>
      </c>
      <c r="H10" s="121">
        <f>AVERAGE(3568471,4000335,5595599)</f>
        <v>4388135</v>
      </c>
      <c r="I10" s="120"/>
    </row>
    <row r="11" spans="1:9" x14ac:dyDescent="0.3">
      <c r="A11" s="64" t="s">
        <v>182</v>
      </c>
      <c r="H11" s="122">
        <f>H12+H13</f>
        <v>3383385.333333333</v>
      </c>
    </row>
    <row r="12" spans="1:9" x14ac:dyDescent="0.3">
      <c r="B12" s="39" t="s">
        <v>171</v>
      </c>
      <c r="F12" s="39">
        <f>F9/3</f>
        <v>12</v>
      </c>
      <c r="H12" s="123">
        <f>(H9/F9)*F12</f>
        <v>1920673.6666666665</v>
      </c>
    </row>
    <row r="13" spans="1:9" x14ac:dyDescent="0.3">
      <c r="B13" s="39" t="s">
        <v>175</v>
      </c>
      <c r="F13" s="39">
        <f>F10/3</f>
        <v>7</v>
      </c>
      <c r="H13" s="123">
        <f>(H10/F10)*F13</f>
        <v>1462711.6666666667</v>
      </c>
    </row>
    <row r="14" spans="1:9" x14ac:dyDescent="0.3">
      <c r="H14" s="123"/>
    </row>
    <row r="15" spans="1:9" x14ac:dyDescent="0.3">
      <c r="A15" s="39" t="s">
        <v>91</v>
      </c>
      <c r="H15" s="123">
        <f>3200000*1.1+500000</f>
        <v>4020000.0000000005</v>
      </c>
    </row>
    <row r="16" spans="1:9" x14ac:dyDescent="0.3">
      <c r="A16" s="39" t="s">
        <v>179</v>
      </c>
      <c r="H16" s="123"/>
    </row>
    <row r="17" spans="1:9" x14ac:dyDescent="0.3">
      <c r="A17" s="85" t="s">
        <v>180</v>
      </c>
      <c r="H17" s="123"/>
    </row>
    <row r="20" spans="1:9" ht="16.2" thickBot="1" x14ac:dyDescent="0.35">
      <c r="A20" s="57" t="s">
        <v>63</v>
      </c>
      <c r="B20" s="57"/>
      <c r="C20" s="57"/>
      <c r="D20" s="57"/>
      <c r="E20" s="57"/>
      <c r="F20" s="57"/>
      <c r="G20" s="58"/>
      <c r="H20" s="58"/>
      <c r="I20" s="58"/>
    </row>
    <row r="21" spans="1:9" ht="60" thickBot="1" x14ac:dyDescent="0.35">
      <c r="A21" s="72" t="s">
        <v>4</v>
      </c>
      <c r="B21" s="90" t="s">
        <v>46</v>
      </c>
      <c r="C21" s="72"/>
      <c r="D21" s="75"/>
      <c r="E21" s="72"/>
      <c r="F21" s="92" t="s">
        <v>216</v>
      </c>
      <c r="G21" s="92" t="s">
        <v>217</v>
      </c>
      <c r="H21" s="92" t="s">
        <v>65</v>
      </c>
    </row>
    <row r="22" spans="1:9" ht="15" thickBot="1" x14ac:dyDescent="0.35">
      <c r="A22" s="72" t="s">
        <v>2</v>
      </c>
      <c r="B22" s="93">
        <f>SUM(B23:B77)</f>
        <v>40831367.287597343</v>
      </c>
      <c r="C22" s="72"/>
      <c r="D22" s="75"/>
      <c r="E22" s="72"/>
      <c r="F22" s="92"/>
      <c r="G22" s="92"/>
      <c r="H22" s="92"/>
    </row>
    <row r="23" spans="1:9" x14ac:dyDescent="0.3">
      <c r="A23" s="94">
        <v>2018</v>
      </c>
      <c r="B23" s="37">
        <f t="shared" ref="B23:B54" si="0">H23*(1/((1+$C$78)^(A23-2018)))</f>
        <v>0</v>
      </c>
      <c r="C23" s="95"/>
      <c r="D23" s="96"/>
      <c r="E23" s="95"/>
      <c r="F23" s="37"/>
      <c r="G23" s="124"/>
      <c r="H23" s="37">
        <f>SUM(F23:G23)</f>
        <v>0</v>
      </c>
    </row>
    <row r="24" spans="1:9" x14ac:dyDescent="0.3">
      <c r="A24" s="99">
        <v>2019</v>
      </c>
      <c r="B24" s="37">
        <f t="shared" si="0"/>
        <v>0</v>
      </c>
      <c r="C24" s="95"/>
      <c r="D24" s="96"/>
      <c r="E24" s="95"/>
      <c r="F24" s="37"/>
      <c r="G24" s="124"/>
      <c r="H24" s="37">
        <f t="shared" ref="H24:H57" si="1">SUM(F24:G24)</f>
        <v>0</v>
      </c>
    </row>
    <row r="25" spans="1:9" x14ac:dyDescent="0.3">
      <c r="A25" s="99">
        <v>2020</v>
      </c>
      <c r="B25" s="37">
        <f t="shared" si="0"/>
        <v>0</v>
      </c>
      <c r="C25" s="95"/>
      <c r="D25" s="96"/>
      <c r="E25" s="95"/>
      <c r="F25" s="37"/>
      <c r="G25" s="124"/>
      <c r="H25" s="37">
        <f t="shared" si="1"/>
        <v>0</v>
      </c>
    </row>
    <row r="26" spans="1:9" x14ac:dyDescent="0.3">
      <c r="A26" s="99">
        <v>2021</v>
      </c>
      <c r="B26" s="37">
        <f t="shared" si="0"/>
        <v>0</v>
      </c>
      <c r="C26" s="95"/>
      <c r="D26" s="96"/>
      <c r="E26" s="95"/>
      <c r="F26" s="37"/>
      <c r="G26" s="124"/>
      <c r="H26" s="37">
        <f t="shared" si="1"/>
        <v>0</v>
      </c>
    </row>
    <row r="27" spans="1:9" x14ac:dyDescent="0.3">
      <c r="A27" s="99">
        <v>2022</v>
      </c>
      <c r="B27" s="37">
        <f t="shared" si="0"/>
        <v>0</v>
      </c>
      <c r="C27" s="95"/>
      <c r="D27" s="96"/>
      <c r="E27" s="95"/>
      <c r="F27" s="37"/>
      <c r="G27" s="124"/>
      <c r="H27" s="37">
        <f t="shared" si="1"/>
        <v>0</v>
      </c>
    </row>
    <row r="28" spans="1:9" x14ac:dyDescent="0.3">
      <c r="A28" s="99">
        <v>2023</v>
      </c>
      <c r="B28" s="37">
        <f t="shared" si="0"/>
        <v>0</v>
      </c>
      <c r="C28" s="95"/>
      <c r="D28" s="96"/>
      <c r="E28" s="95"/>
      <c r="F28" s="37"/>
      <c r="G28" s="124"/>
      <c r="H28" s="37">
        <f t="shared" si="1"/>
        <v>0</v>
      </c>
    </row>
    <row r="29" spans="1:9" x14ac:dyDescent="0.3">
      <c r="A29" s="99">
        <v>2024</v>
      </c>
      <c r="B29" s="37">
        <f t="shared" si="0"/>
        <v>0</v>
      </c>
      <c r="C29" s="95"/>
      <c r="D29" s="96"/>
      <c r="E29" s="95"/>
      <c r="F29" s="37"/>
      <c r="G29" s="124"/>
      <c r="H29" s="37">
        <f t="shared" si="1"/>
        <v>0</v>
      </c>
    </row>
    <row r="30" spans="1:9" x14ac:dyDescent="0.3">
      <c r="A30" s="99">
        <v>2025</v>
      </c>
      <c r="B30" s="37">
        <f t="shared" si="0"/>
        <v>0</v>
      </c>
      <c r="C30" s="95"/>
      <c r="D30" s="96"/>
      <c r="E30" s="95"/>
      <c r="F30" s="37"/>
      <c r="G30" s="124"/>
      <c r="H30" s="37">
        <f t="shared" si="1"/>
        <v>0</v>
      </c>
    </row>
    <row r="31" spans="1:9" x14ac:dyDescent="0.3">
      <c r="A31" s="99">
        <v>2026</v>
      </c>
      <c r="B31" s="37">
        <f t="shared" si="0"/>
        <v>0</v>
      </c>
      <c r="C31" s="95"/>
      <c r="D31" s="96"/>
      <c r="E31" s="95"/>
      <c r="F31" s="37"/>
      <c r="G31" s="124"/>
      <c r="H31" s="37">
        <f t="shared" si="1"/>
        <v>0</v>
      </c>
    </row>
    <row r="32" spans="1:9" x14ac:dyDescent="0.3">
      <c r="A32" s="99">
        <v>2027</v>
      </c>
      <c r="B32" s="37">
        <f t="shared" si="0"/>
        <v>2853034.847636776</v>
      </c>
      <c r="C32" s="95"/>
      <c r="D32" s="96"/>
      <c r="E32" s="95"/>
      <c r="F32" s="37"/>
      <c r="G32" s="37">
        <f>H15*(1.03^(A32-2018))</f>
        <v>5245188.1989935637</v>
      </c>
      <c r="H32" s="37">
        <f t="shared" si="1"/>
        <v>5245188.1989935637</v>
      </c>
    </row>
    <row r="33" spans="1:8" x14ac:dyDescent="0.3">
      <c r="A33" s="99">
        <v>2028</v>
      </c>
      <c r="B33" s="37">
        <f t="shared" si="0"/>
        <v>2311457.606070736</v>
      </c>
      <c r="C33" s="95"/>
      <c r="D33" s="96"/>
      <c r="E33" s="95"/>
      <c r="F33" s="37">
        <f>$H$11*(1.03^(A33-2018))</f>
        <v>4546986.9670993378</v>
      </c>
      <c r="G33" s="124"/>
      <c r="H33" s="37">
        <f t="shared" si="1"/>
        <v>4546986.9670993378</v>
      </c>
    </row>
    <row r="34" spans="1:8" x14ac:dyDescent="0.3">
      <c r="A34" s="99">
        <v>2029</v>
      </c>
      <c r="B34" s="37">
        <f t="shared" si="0"/>
        <v>2225047.9759372501</v>
      </c>
      <c r="C34" s="95"/>
      <c r="D34" s="96"/>
      <c r="E34" s="95"/>
      <c r="F34" s="37">
        <f t="shared" ref="F34:F57" si="2">$H$11*(1.03^(A34-2018))</f>
        <v>4683396.5761123179</v>
      </c>
      <c r="G34" s="124"/>
      <c r="H34" s="37">
        <f t="shared" si="1"/>
        <v>4683396.5761123179</v>
      </c>
    </row>
    <row r="35" spans="1:8" x14ac:dyDescent="0.3">
      <c r="A35" s="99">
        <v>2030</v>
      </c>
      <c r="B35" s="37">
        <f t="shared" si="0"/>
        <v>2141868.6123508108</v>
      </c>
      <c r="C35" s="95"/>
      <c r="D35" s="96"/>
      <c r="E35" s="95"/>
      <c r="F35" s="37">
        <f t="shared" si="2"/>
        <v>4823898.4733956866</v>
      </c>
      <c r="G35" s="124"/>
      <c r="H35" s="37">
        <f t="shared" si="1"/>
        <v>4823898.4733956866</v>
      </c>
    </row>
    <row r="36" spans="1:8" x14ac:dyDescent="0.3">
      <c r="A36" s="99">
        <v>2031</v>
      </c>
      <c r="B36" s="37">
        <f t="shared" si="0"/>
        <v>2061798.7576834904</v>
      </c>
      <c r="C36" s="95"/>
      <c r="D36" s="96"/>
      <c r="E36" s="95"/>
      <c r="F36" s="37">
        <f t="shared" si="2"/>
        <v>4968615.4275975572</v>
      </c>
      <c r="G36" s="124"/>
      <c r="H36" s="37">
        <f t="shared" si="1"/>
        <v>4968615.4275975572</v>
      </c>
    </row>
    <row r="37" spans="1:8" x14ac:dyDescent="0.3">
      <c r="A37" s="99">
        <v>2032</v>
      </c>
      <c r="B37" s="37">
        <f t="shared" si="0"/>
        <v>1984722.168611211</v>
      </c>
      <c r="C37" s="95"/>
      <c r="D37" s="96"/>
      <c r="E37" s="95"/>
      <c r="F37" s="37">
        <f t="shared" si="2"/>
        <v>5117673.8904254846</v>
      </c>
      <c r="G37" s="124"/>
      <c r="H37" s="37">
        <f t="shared" si="1"/>
        <v>5117673.8904254846</v>
      </c>
    </row>
    <row r="38" spans="1:8" x14ac:dyDescent="0.3">
      <c r="A38" s="99">
        <v>2033</v>
      </c>
      <c r="B38" s="37">
        <f t="shared" si="0"/>
        <v>1910526.9473547167</v>
      </c>
      <c r="C38" s="95"/>
      <c r="D38" s="96"/>
      <c r="E38" s="95"/>
      <c r="F38" s="37">
        <f t="shared" si="2"/>
        <v>5271204.1071382491</v>
      </c>
      <c r="G38" s="124"/>
      <c r="H38" s="37">
        <f t="shared" si="1"/>
        <v>5271204.1071382491</v>
      </c>
    </row>
    <row r="39" spans="1:8" x14ac:dyDescent="0.3">
      <c r="A39" s="99">
        <v>2034</v>
      </c>
      <c r="B39" s="37">
        <f t="shared" si="0"/>
        <v>1839105.3792293067</v>
      </c>
      <c r="C39" s="95"/>
      <c r="D39" s="96"/>
      <c r="E39" s="95"/>
      <c r="F39" s="37">
        <f t="shared" si="2"/>
        <v>5429340.2303523952</v>
      </c>
      <c r="G39" s="124"/>
      <c r="H39" s="37">
        <f t="shared" si="1"/>
        <v>5429340.2303523952</v>
      </c>
    </row>
    <row r="40" spans="1:8" x14ac:dyDescent="0.3">
      <c r="A40" s="99">
        <v>2035</v>
      </c>
      <c r="B40" s="37">
        <f t="shared" si="0"/>
        <v>1770353.7762674636</v>
      </c>
      <c r="C40" s="95"/>
      <c r="D40" s="96"/>
      <c r="E40" s="95"/>
      <c r="F40" s="37">
        <f t="shared" si="2"/>
        <v>5592220.4372629672</v>
      </c>
      <c r="G40" s="124"/>
      <c r="H40" s="37">
        <f t="shared" si="1"/>
        <v>5592220.4372629672</v>
      </c>
    </row>
    <row r="41" spans="1:8" x14ac:dyDescent="0.3">
      <c r="A41" s="99">
        <v>2036</v>
      </c>
      <c r="B41" s="37">
        <f t="shared" si="0"/>
        <v>1704172.3266873714</v>
      </c>
      <c r="C41" s="95"/>
      <c r="D41" s="96"/>
      <c r="E41" s="95"/>
      <c r="F41" s="37">
        <f t="shared" si="2"/>
        <v>5759987.0503808567</v>
      </c>
      <c r="G41" s="124"/>
      <c r="H41" s="37">
        <f t="shared" si="1"/>
        <v>5759987.0503808567</v>
      </c>
    </row>
    <row r="42" spans="1:8" x14ac:dyDescent="0.3">
      <c r="A42" s="99">
        <v>2037</v>
      </c>
      <c r="B42" s="37">
        <f t="shared" si="0"/>
        <v>1640464.949988778</v>
      </c>
      <c r="C42" s="95"/>
      <c r="D42" s="96"/>
      <c r="E42" s="95"/>
      <c r="F42" s="37">
        <f t="shared" si="2"/>
        <v>5932786.6618922818</v>
      </c>
      <c r="G42" s="124"/>
      <c r="H42" s="37">
        <f t="shared" si="1"/>
        <v>5932786.6618922818</v>
      </c>
    </row>
    <row r="43" spans="1:8" x14ac:dyDescent="0.3">
      <c r="A43" s="99">
        <v>2038</v>
      </c>
      <c r="B43" s="37">
        <f t="shared" si="0"/>
        <v>1579139.157465833</v>
      </c>
      <c r="C43" s="95"/>
      <c r="D43" s="96"/>
      <c r="E43" s="95"/>
      <c r="F43" s="37">
        <f t="shared" si="2"/>
        <v>6110770.2617490506</v>
      </c>
      <c r="G43" s="124"/>
      <c r="H43" s="37">
        <f t="shared" si="1"/>
        <v>6110770.2617490506</v>
      </c>
    </row>
    <row r="44" spans="1:8" x14ac:dyDescent="0.3">
      <c r="A44" s="99">
        <v>2039</v>
      </c>
      <c r="B44" s="37">
        <f t="shared" si="0"/>
        <v>1520105.9179343998</v>
      </c>
      <c r="C44" s="95"/>
      <c r="D44" s="96"/>
      <c r="E44" s="95"/>
      <c r="F44" s="37">
        <f t="shared" si="2"/>
        <v>6294093.3696015207</v>
      </c>
      <c r="G44" s="124"/>
      <c r="H44" s="37">
        <f t="shared" si="1"/>
        <v>6294093.3696015207</v>
      </c>
    </row>
    <row r="45" spans="1:8" x14ac:dyDescent="0.3">
      <c r="A45" s="99">
        <v>2040</v>
      </c>
      <c r="B45" s="37">
        <f t="shared" si="0"/>
        <v>1463279.5284789084</v>
      </c>
      <c r="C45" s="95"/>
      <c r="D45" s="96"/>
      <c r="E45" s="95"/>
      <c r="F45" s="37">
        <f t="shared" si="2"/>
        <v>6482916.170689567</v>
      </c>
      <c r="G45" s="124"/>
      <c r="H45" s="37">
        <f t="shared" si="1"/>
        <v>6482916.170689567</v>
      </c>
    </row>
    <row r="46" spans="1:8" x14ac:dyDescent="0.3">
      <c r="A46" s="99">
        <v>2041</v>
      </c>
      <c r="B46" s="37">
        <f t="shared" si="0"/>
        <v>1408577.4900310987</v>
      </c>
      <c r="C46" s="95"/>
      <c r="D46" s="96"/>
      <c r="E46" s="95"/>
      <c r="F46" s="37">
        <f t="shared" si="2"/>
        <v>6677403.6558102546</v>
      </c>
      <c r="G46" s="124"/>
      <c r="H46" s="37">
        <f t="shared" si="1"/>
        <v>6677403.6558102546</v>
      </c>
    </row>
    <row r="47" spans="1:8" x14ac:dyDescent="0.3">
      <c r="A47" s="99">
        <v>2042</v>
      </c>
      <c r="B47" s="37">
        <f t="shared" si="0"/>
        <v>1355920.3876000294</v>
      </c>
      <c r="C47" s="95"/>
      <c r="D47" s="96"/>
      <c r="E47" s="95"/>
      <c r="F47" s="37">
        <f t="shared" si="2"/>
        <v>6877725.7654845612</v>
      </c>
      <c r="G47" s="124"/>
      <c r="H47" s="37">
        <f t="shared" si="1"/>
        <v>6877725.7654845612</v>
      </c>
    </row>
    <row r="48" spans="1:8" x14ac:dyDescent="0.3">
      <c r="A48" s="99">
        <v>2043</v>
      </c>
      <c r="B48" s="37">
        <f t="shared" si="0"/>
        <v>1305231.7749794675</v>
      </c>
      <c r="C48" s="95"/>
      <c r="D48" s="96"/>
      <c r="E48" s="95"/>
      <c r="F48" s="37">
        <f t="shared" si="2"/>
        <v>7084057.5384490984</v>
      </c>
      <c r="G48" s="124"/>
      <c r="H48" s="37">
        <f t="shared" si="1"/>
        <v>7084057.5384490984</v>
      </c>
    </row>
    <row r="49" spans="1:8" x14ac:dyDescent="0.3">
      <c r="A49" s="99">
        <v>2044</v>
      </c>
      <c r="B49" s="37">
        <f t="shared" si="0"/>
        <v>1256438.063765282</v>
      </c>
      <c r="C49" s="95"/>
      <c r="D49" s="96"/>
      <c r="E49" s="95"/>
      <c r="F49" s="37">
        <f t="shared" si="2"/>
        <v>7296579.2646025717</v>
      </c>
      <c r="G49" s="124"/>
      <c r="H49" s="37">
        <f t="shared" si="1"/>
        <v>7296579.2646025717</v>
      </c>
    </row>
    <row r="50" spans="1:8" x14ac:dyDescent="0.3">
      <c r="A50" s="99">
        <v>2045</v>
      </c>
      <c r="B50" s="37">
        <f t="shared" si="0"/>
        <v>1209468.4165217197</v>
      </c>
      <c r="C50" s="95"/>
      <c r="D50" s="96"/>
      <c r="E50" s="95"/>
      <c r="F50" s="37">
        <f t="shared" si="2"/>
        <v>7515476.6425406486</v>
      </c>
      <c r="G50" s="124"/>
      <c r="H50" s="37">
        <f t="shared" si="1"/>
        <v>7515476.6425406486</v>
      </c>
    </row>
    <row r="51" spans="1:8" x14ac:dyDescent="0.3">
      <c r="A51" s="99">
        <v>2046</v>
      </c>
      <c r="B51" s="37">
        <f t="shared" si="0"/>
        <v>1164254.6439414688</v>
      </c>
      <c r="C51" s="95"/>
      <c r="D51" s="96"/>
      <c r="E51" s="95"/>
      <c r="F51" s="37">
        <f t="shared" si="2"/>
        <v>7740940.9418168683</v>
      </c>
      <c r="G51" s="124"/>
      <c r="H51" s="37">
        <f t="shared" si="1"/>
        <v>7740940.9418168683</v>
      </c>
    </row>
    <row r="52" spans="1:8" x14ac:dyDescent="0.3">
      <c r="A52" s="99">
        <v>2047</v>
      </c>
      <c r="B52" s="37">
        <f t="shared" si="0"/>
        <v>1120731.1058501988</v>
      </c>
      <c r="C52" s="95"/>
      <c r="D52" s="96"/>
      <c r="E52" s="95"/>
      <c r="F52" s="37">
        <f t="shared" si="2"/>
        <v>7973169.1700713728</v>
      </c>
      <c r="G52" s="124"/>
      <c r="H52" s="37">
        <f t="shared" si="1"/>
        <v>7973169.1700713728</v>
      </c>
    </row>
    <row r="53" spans="1:8" x14ac:dyDescent="0.3">
      <c r="A53" s="99">
        <v>2048</v>
      </c>
      <c r="B53" s="37">
        <f t="shared" si="0"/>
        <v>1078834.6159118738</v>
      </c>
      <c r="C53" s="95"/>
      <c r="D53" s="96"/>
      <c r="E53" s="95"/>
      <c r="F53" s="37">
        <f t="shared" si="2"/>
        <v>8212364.2451735148</v>
      </c>
      <c r="G53" s="124"/>
      <c r="H53" s="37">
        <f t="shared" si="1"/>
        <v>8212364.2451735148</v>
      </c>
    </row>
    <row r="54" spans="1:8" x14ac:dyDescent="0.3">
      <c r="A54" s="99">
        <v>2049</v>
      </c>
      <c r="B54" s="37">
        <f t="shared" si="0"/>
        <v>1038504.3498964764</v>
      </c>
      <c r="C54" s="95"/>
      <c r="D54" s="96"/>
      <c r="E54" s="95"/>
      <c r="F54" s="37">
        <f t="shared" si="2"/>
        <v>8458735.1725287214</v>
      </c>
      <c r="G54" s="124"/>
      <c r="H54" s="37">
        <f t="shared" si="1"/>
        <v>8458735.1725287214</v>
      </c>
    </row>
    <row r="55" spans="1:8" x14ac:dyDescent="0.3">
      <c r="A55" s="99">
        <v>2050</v>
      </c>
      <c r="B55" s="37">
        <f t="shared" ref="B55:B57" si="3">H55*(1/((1+$C$78)^(A55-2018)))</f>
        <v>999681.75737698178</v>
      </c>
      <c r="C55" s="95"/>
      <c r="D55" s="96"/>
      <c r="E55" s="95"/>
      <c r="F55" s="37">
        <f t="shared" si="2"/>
        <v>8712497.2277045809</v>
      </c>
      <c r="G55" s="124"/>
      <c r="H55" s="37">
        <f t="shared" si="1"/>
        <v>8712497.2277045809</v>
      </c>
    </row>
    <row r="56" spans="1:8" x14ac:dyDescent="0.3">
      <c r="A56" s="99">
        <v>2051</v>
      </c>
      <c r="B56" s="37">
        <f t="shared" si="3"/>
        <v>962310.47672737506</v>
      </c>
      <c r="C56" s="95"/>
      <c r="D56" s="96"/>
      <c r="E56" s="95"/>
      <c r="F56" s="37">
        <f t="shared" si="2"/>
        <v>8973872.1445357185</v>
      </c>
      <c r="G56" s="124"/>
      <c r="H56" s="37">
        <f t="shared" si="1"/>
        <v>8973872.1445357185</v>
      </c>
    </row>
    <row r="57" spans="1:8" x14ac:dyDescent="0.3">
      <c r="A57" s="99">
        <v>2052</v>
      </c>
      <c r="B57" s="37">
        <f t="shared" si="3"/>
        <v>926336.25329831429</v>
      </c>
      <c r="C57" s="95"/>
      <c r="D57" s="96"/>
      <c r="E57" s="95"/>
      <c r="F57" s="37">
        <f t="shared" si="2"/>
        <v>9243088.3088717889</v>
      </c>
      <c r="G57" s="124"/>
      <c r="H57" s="37">
        <f t="shared" si="1"/>
        <v>9243088.3088717889</v>
      </c>
    </row>
    <row r="58" spans="1:8" x14ac:dyDescent="0.3">
      <c r="A58" s="99"/>
      <c r="B58" s="37"/>
      <c r="C58" s="95"/>
      <c r="D58" s="96"/>
      <c r="E58" s="95"/>
      <c r="F58" s="37"/>
      <c r="G58" s="124"/>
      <c r="H58" s="37"/>
    </row>
    <row r="59" spans="1:8" x14ac:dyDescent="0.3">
      <c r="A59" s="99"/>
      <c r="B59" s="37"/>
      <c r="C59" s="95"/>
      <c r="D59" s="96"/>
      <c r="E59" s="95"/>
      <c r="F59" s="37"/>
      <c r="G59" s="124"/>
      <c r="H59" s="37"/>
    </row>
    <row r="60" spans="1:8" x14ac:dyDescent="0.3">
      <c r="A60" s="99"/>
      <c r="B60" s="37"/>
      <c r="C60" s="95"/>
      <c r="D60" s="96"/>
      <c r="E60" s="95"/>
      <c r="F60" s="37"/>
      <c r="G60" s="124"/>
      <c r="H60" s="37"/>
    </row>
    <row r="61" spans="1:8" x14ac:dyDescent="0.3">
      <c r="A61" s="99"/>
      <c r="B61" s="37"/>
      <c r="C61" s="95"/>
      <c r="D61" s="96"/>
      <c r="E61" s="95"/>
      <c r="F61" s="37"/>
      <c r="G61" s="124"/>
      <c r="H61" s="37"/>
    </row>
    <row r="62" spans="1:8" x14ac:dyDescent="0.3">
      <c r="A62" s="99"/>
      <c r="B62" s="37"/>
      <c r="C62" s="95"/>
      <c r="D62" s="96"/>
      <c r="E62" s="95"/>
      <c r="F62" s="37"/>
      <c r="G62" s="124"/>
      <c r="H62" s="37"/>
    </row>
    <row r="63" spans="1:8" x14ac:dyDescent="0.3">
      <c r="A63" s="99"/>
      <c r="B63" s="37"/>
      <c r="C63" s="95"/>
      <c r="D63" s="96"/>
      <c r="E63" s="95"/>
      <c r="F63" s="37"/>
      <c r="G63" s="124"/>
      <c r="H63" s="37"/>
    </row>
    <row r="64" spans="1:8" x14ac:dyDescent="0.3">
      <c r="A64" s="99"/>
      <c r="B64" s="37"/>
      <c r="C64" s="95"/>
      <c r="D64" s="96"/>
      <c r="E64" s="95"/>
      <c r="F64" s="37"/>
      <c r="G64" s="124"/>
      <c r="H64" s="37"/>
    </row>
    <row r="65" spans="1:9" x14ac:dyDescent="0.3">
      <c r="A65" s="99"/>
      <c r="B65" s="37"/>
      <c r="C65" s="95"/>
      <c r="D65" s="96"/>
      <c r="E65" s="95"/>
      <c r="F65" s="37"/>
      <c r="G65" s="124"/>
      <c r="H65" s="37"/>
    </row>
    <row r="66" spans="1:9" x14ac:dyDescent="0.3">
      <c r="A66" s="99"/>
      <c r="B66" s="37"/>
      <c r="C66" s="95"/>
      <c r="D66" s="96"/>
      <c r="E66" s="95"/>
      <c r="F66" s="37"/>
      <c r="G66" s="124"/>
      <c r="H66" s="37"/>
    </row>
    <row r="67" spans="1:9" x14ac:dyDescent="0.3">
      <c r="A67" s="99"/>
      <c r="B67" s="37"/>
      <c r="C67" s="95"/>
      <c r="D67" s="96"/>
      <c r="E67" s="95"/>
      <c r="F67" s="37"/>
      <c r="G67" s="124"/>
      <c r="H67" s="37"/>
    </row>
    <row r="68" spans="1:9" x14ac:dyDescent="0.3">
      <c r="A68" s="99"/>
      <c r="B68" s="37"/>
      <c r="C68" s="95"/>
      <c r="D68" s="96"/>
      <c r="E68" s="95"/>
      <c r="F68" s="37"/>
      <c r="G68" s="124"/>
      <c r="H68" s="37"/>
    </row>
    <row r="69" spans="1:9" x14ac:dyDescent="0.3">
      <c r="A69" s="99"/>
      <c r="B69" s="37"/>
      <c r="C69" s="95"/>
      <c r="D69" s="96"/>
      <c r="E69" s="95"/>
      <c r="F69" s="37"/>
      <c r="G69" s="124"/>
      <c r="H69" s="37"/>
    </row>
    <row r="70" spans="1:9" x14ac:dyDescent="0.3">
      <c r="A70" s="99"/>
      <c r="B70" s="37"/>
      <c r="C70" s="95"/>
      <c r="D70" s="96"/>
      <c r="E70" s="95"/>
      <c r="F70" s="37"/>
      <c r="G70" s="124"/>
      <c r="H70" s="37"/>
    </row>
    <row r="71" spans="1:9" x14ac:dyDescent="0.3">
      <c r="A71" s="99"/>
      <c r="B71" s="37"/>
      <c r="C71" s="95"/>
      <c r="D71" s="96"/>
      <c r="E71" s="95"/>
      <c r="F71" s="37"/>
      <c r="G71" s="124"/>
      <c r="H71" s="37"/>
    </row>
    <row r="72" spans="1:9" x14ac:dyDescent="0.3">
      <c r="A72" s="99"/>
      <c r="B72" s="37"/>
      <c r="C72" s="95"/>
      <c r="D72" s="96"/>
      <c r="E72" s="95"/>
      <c r="F72" s="37"/>
      <c r="G72" s="124"/>
      <c r="H72" s="37"/>
    </row>
    <row r="73" spans="1:9" x14ac:dyDescent="0.3">
      <c r="A73" s="99"/>
      <c r="B73" s="37"/>
      <c r="C73" s="95"/>
      <c r="D73" s="96"/>
      <c r="E73" s="95"/>
      <c r="F73" s="37"/>
      <c r="G73" s="124"/>
      <c r="H73" s="37"/>
    </row>
    <row r="74" spans="1:9" x14ac:dyDescent="0.3">
      <c r="A74" s="99"/>
      <c r="B74" s="37"/>
      <c r="C74" s="95"/>
      <c r="D74" s="96"/>
      <c r="E74" s="95"/>
      <c r="F74" s="37"/>
      <c r="G74" s="124"/>
      <c r="H74" s="37"/>
    </row>
    <row r="75" spans="1:9" x14ac:dyDescent="0.3">
      <c r="A75" s="99"/>
      <c r="B75" s="37"/>
      <c r="C75" s="95"/>
      <c r="D75" s="96"/>
      <c r="E75" s="95"/>
      <c r="F75" s="37"/>
      <c r="G75" s="124"/>
      <c r="H75" s="37"/>
    </row>
    <row r="76" spans="1:9" x14ac:dyDescent="0.3">
      <c r="A76" s="99"/>
      <c r="B76" s="37"/>
      <c r="C76" s="95"/>
      <c r="D76" s="96"/>
      <c r="E76" s="95"/>
      <c r="F76" s="37"/>
      <c r="G76" s="124"/>
      <c r="H76" s="37"/>
    </row>
    <row r="77" spans="1:9" ht="15" thickBot="1" x14ac:dyDescent="0.35">
      <c r="A77" s="55"/>
      <c r="B77" s="38"/>
      <c r="C77" s="55"/>
      <c r="D77" s="100"/>
      <c r="E77" s="55"/>
      <c r="F77" s="38"/>
      <c r="G77" s="125"/>
      <c r="H77" s="38"/>
    </row>
    <row r="78" spans="1:9" x14ac:dyDescent="0.3">
      <c r="A78" s="39" t="s">
        <v>69</v>
      </c>
      <c r="B78" s="113"/>
      <c r="C78" s="84">
        <v>7.0000000000000007E-2</v>
      </c>
      <c r="D78" s="113"/>
      <c r="E78" s="113"/>
      <c r="F78" s="113"/>
      <c r="G78" s="113"/>
      <c r="H78" s="113"/>
      <c r="I78" s="113"/>
    </row>
    <row r="79" spans="1:9" x14ac:dyDescent="0.3">
      <c r="A79" s="113" t="s">
        <v>183</v>
      </c>
      <c r="B79" s="113"/>
      <c r="C79" s="113"/>
      <c r="D79" s="113"/>
      <c r="E79" s="113"/>
      <c r="F79" s="113"/>
      <c r="G79" s="113"/>
      <c r="H79" s="113"/>
      <c r="I79" s="11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98"/>
  <sheetViews>
    <sheetView workbookViewId="0">
      <selection sqref="A1:XFD1048576"/>
    </sheetView>
  </sheetViews>
  <sheetFormatPr defaultColWidth="9.109375" defaultRowHeight="14.4" x14ac:dyDescent="0.3"/>
  <cols>
    <col min="1" max="1" width="9.109375" style="39"/>
    <col min="2" max="2" width="14.109375" style="39" customWidth="1"/>
    <col min="3" max="3" width="4.44140625" style="39" customWidth="1"/>
    <col min="4" max="5" width="3" style="39" customWidth="1"/>
    <col min="6" max="6" width="9.6640625" style="39" customWidth="1"/>
    <col min="7" max="7" width="11.5546875" style="39" customWidth="1"/>
    <col min="8" max="8" width="9.6640625" style="39" customWidth="1"/>
    <col min="9" max="9" width="10.6640625" style="39" customWidth="1"/>
    <col min="10" max="11" width="9.6640625" style="39" customWidth="1"/>
    <col min="12" max="12" width="12.44140625" style="39" customWidth="1"/>
    <col min="13" max="13" width="14.88671875" style="39" customWidth="1"/>
    <col min="14" max="16" width="9.109375" style="39"/>
    <col min="17" max="17" width="16.33203125" style="39" bestFit="1" customWidth="1"/>
    <col min="18" max="16384" width="9.109375" style="39"/>
  </cols>
  <sheetData>
    <row r="2" spans="1:17" x14ac:dyDescent="0.3">
      <c r="A2" s="39" t="s">
        <v>62</v>
      </c>
    </row>
    <row r="3" spans="1:17" x14ac:dyDescent="0.3">
      <c r="A3" s="39" t="str">
        <f>'C-Emmisions'!A3</f>
        <v>Source: Lewis Street Overpass Project Transportation Discipline Report (CH2M Hill, Dec 2011)</v>
      </c>
    </row>
    <row r="5" spans="1:17" x14ac:dyDescent="0.3">
      <c r="B5" s="39" t="s">
        <v>47</v>
      </c>
      <c r="H5" s="53">
        <f>'C-Emmisions'!I5</f>
        <v>820</v>
      </c>
      <c r="I5" s="39" t="s">
        <v>48</v>
      </c>
    </row>
    <row r="6" spans="1:17" x14ac:dyDescent="0.3">
      <c r="B6" s="39" t="s">
        <v>50</v>
      </c>
      <c r="H6" s="39">
        <v>250</v>
      </c>
      <c r="I6" s="39" t="s">
        <v>51</v>
      </c>
    </row>
    <row r="7" spans="1:17" x14ac:dyDescent="0.3">
      <c r="B7" s="39" t="s">
        <v>82</v>
      </c>
      <c r="H7" s="52">
        <f>100/8.7</f>
        <v>11.494252873563219</v>
      </c>
      <c r="I7" s="39" t="s">
        <v>83</v>
      </c>
    </row>
    <row r="8" spans="1:17" x14ac:dyDescent="0.3">
      <c r="B8" s="39" t="s">
        <v>52</v>
      </c>
      <c r="H8" s="39">
        <f>H5*H6*H7</f>
        <v>2356321.8390804599</v>
      </c>
      <c r="I8" s="39" t="s">
        <v>68</v>
      </c>
    </row>
    <row r="10" spans="1:17" x14ac:dyDescent="0.3">
      <c r="A10" s="39" t="s">
        <v>53</v>
      </c>
      <c r="H10" s="87">
        <f>'C-Emmisions'!I10</f>
        <v>0.01</v>
      </c>
    </row>
    <row r="11" spans="1:17" x14ac:dyDescent="0.3">
      <c r="A11" s="39" t="s">
        <v>202</v>
      </c>
    </row>
    <row r="13" spans="1:17" x14ac:dyDescent="0.3">
      <c r="A13" s="39" t="s">
        <v>93</v>
      </c>
      <c r="H13" s="39">
        <v>163.1</v>
      </c>
      <c r="I13" s="39" t="s">
        <v>94</v>
      </c>
    </row>
    <row r="14" spans="1:17" x14ac:dyDescent="0.3">
      <c r="A14" s="39" t="s">
        <v>218</v>
      </c>
    </row>
    <row r="16" spans="1:17" x14ac:dyDescent="0.3">
      <c r="B16" s="39" t="s">
        <v>95</v>
      </c>
      <c r="F16" s="39" t="s">
        <v>99</v>
      </c>
      <c r="G16" s="39" t="s">
        <v>100</v>
      </c>
      <c r="K16" s="39" t="s">
        <v>110</v>
      </c>
      <c r="Q16" s="79"/>
    </row>
    <row r="17" spans="1:12" x14ac:dyDescent="0.3">
      <c r="B17" s="39" t="s">
        <v>96</v>
      </c>
      <c r="F17" s="39">
        <v>3</v>
      </c>
      <c r="G17" s="126">
        <f t="shared" ref="G17:G22" si="0">F17/$F$22</f>
        <v>2.7548209366391185E-3</v>
      </c>
      <c r="I17" s="39" t="s">
        <v>108</v>
      </c>
      <c r="K17" s="39">
        <v>23189</v>
      </c>
      <c r="L17" s="127">
        <f>K17/SUM(K17:K18)</f>
        <v>0.21515921912114014</v>
      </c>
    </row>
    <row r="18" spans="1:12" x14ac:dyDescent="0.3">
      <c r="B18" s="39" t="s">
        <v>97</v>
      </c>
      <c r="F18" s="39">
        <v>14</v>
      </c>
      <c r="G18" s="126">
        <f t="shared" si="0"/>
        <v>1.2855831037649219E-2</v>
      </c>
      <c r="I18" s="39" t="s">
        <v>109</v>
      </c>
      <c r="K18" s="39">
        <v>84587</v>
      </c>
      <c r="L18" s="127">
        <f>K18/SUM(K17:K18)</f>
        <v>0.78484078087885989</v>
      </c>
    </row>
    <row r="19" spans="1:12" x14ac:dyDescent="0.3">
      <c r="B19" s="39" t="s">
        <v>155</v>
      </c>
      <c r="F19" s="39">
        <v>19</v>
      </c>
      <c r="G19" s="126">
        <f t="shared" si="0"/>
        <v>1.7447199265381085E-2</v>
      </c>
      <c r="L19" s="127"/>
    </row>
    <row r="20" spans="1:12" x14ac:dyDescent="0.3">
      <c r="B20" s="39" t="s">
        <v>154</v>
      </c>
      <c r="F20" s="39">
        <v>245</v>
      </c>
      <c r="G20" s="126">
        <f t="shared" si="0"/>
        <v>0.22497704315886133</v>
      </c>
    </row>
    <row r="21" spans="1:12" x14ac:dyDescent="0.3">
      <c r="B21" s="39" t="s">
        <v>98</v>
      </c>
      <c r="F21" s="39">
        <v>808</v>
      </c>
      <c r="G21" s="126">
        <f t="shared" si="0"/>
        <v>0.74196510560146922</v>
      </c>
      <c r="K21" s="128" t="s">
        <v>111</v>
      </c>
      <c r="L21" s="116">
        <f>2*L18+1*L17</f>
        <v>1.78484078087886</v>
      </c>
    </row>
    <row r="22" spans="1:12" x14ac:dyDescent="0.3">
      <c r="B22" s="39" t="s">
        <v>2</v>
      </c>
      <c r="F22" s="39">
        <f>SUM(F17:F21)</f>
        <v>1089</v>
      </c>
      <c r="G22" s="126">
        <f t="shared" si="0"/>
        <v>1</v>
      </c>
    </row>
    <row r="25" spans="1:12" x14ac:dyDescent="0.3">
      <c r="A25" s="39" t="s">
        <v>157</v>
      </c>
    </row>
    <row r="27" spans="1:12" s="88" customFormat="1" ht="28.8" x14ac:dyDescent="0.3">
      <c r="H27" s="88" t="s">
        <v>103</v>
      </c>
      <c r="I27" s="88" t="s">
        <v>104</v>
      </c>
      <c r="J27" s="88" t="s">
        <v>105</v>
      </c>
      <c r="K27" s="88" t="s">
        <v>106</v>
      </c>
      <c r="L27" s="88" t="s">
        <v>102</v>
      </c>
    </row>
    <row r="28" spans="1:12" x14ac:dyDescent="0.3">
      <c r="G28" s="128" t="s">
        <v>107</v>
      </c>
      <c r="H28" s="121">
        <v>3200</v>
      </c>
      <c r="I28" s="121">
        <v>63900</v>
      </c>
      <c r="J28" s="121">
        <v>125000</v>
      </c>
      <c r="K28" s="121">
        <v>459100</v>
      </c>
      <c r="L28" s="121">
        <v>9600000</v>
      </c>
    </row>
    <row r="29" spans="1:12" x14ac:dyDescent="0.3">
      <c r="G29" s="128" t="s">
        <v>112</v>
      </c>
      <c r="H29" s="129">
        <f>G21</f>
        <v>0.74196510560146922</v>
      </c>
      <c r="I29" s="126">
        <f>G20</f>
        <v>0.22497704315886133</v>
      </c>
      <c r="J29" s="126">
        <f>G19</f>
        <v>1.7447199265381085E-2</v>
      </c>
      <c r="K29" s="129">
        <f>G18</f>
        <v>1.2855831037649219E-2</v>
      </c>
      <c r="L29" s="129">
        <f>G17</f>
        <v>2.7548209366391185E-3</v>
      </c>
    </row>
    <row r="31" spans="1:12" x14ac:dyDescent="0.3">
      <c r="G31" s="128" t="s">
        <v>113</v>
      </c>
      <c r="H31" s="130">
        <f>H28*H29</f>
        <v>2374.2883379247014</v>
      </c>
      <c r="I31" s="130">
        <f t="shared" ref="I31:L31" si="1">I28*I29</f>
        <v>14376.033057851238</v>
      </c>
      <c r="J31" s="130">
        <f t="shared" si="1"/>
        <v>2180.8999081726356</v>
      </c>
      <c r="K31" s="130">
        <f t="shared" si="1"/>
        <v>5902.1120293847562</v>
      </c>
      <c r="L31" s="130">
        <f t="shared" si="1"/>
        <v>26446.280991735537</v>
      </c>
    </row>
    <row r="33" spans="1:13" x14ac:dyDescent="0.3">
      <c r="G33" s="128" t="s">
        <v>114</v>
      </c>
      <c r="H33" s="130">
        <f>SUM(H31:L31)</f>
        <v>51279.614325068869</v>
      </c>
    </row>
    <row r="35" spans="1:13" x14ac:dyDescent="0.3">
      <c r="B35" s="89"/>
    </row>
    <row r="39" spans="1:13" ht="16.2" thickBot="1" x14ac:dyDescent="0.35">
      <c r="A39" s="57" t="s">
        <v>153</v>
      </c>
      <c r="B39" s="57"/>
      <c r="C39" s="57"/>
      <c r="D39" s="57"/>
      <c r="E39" s="57"/>
      <c r="F39" s="57"/>
      <c r="G39" s="58"/>
      <c r="H39" s="58"/>
      <c r="I39" s="58"/>
      <c r="J39" s="58"/>
      <c r="K39" s="58"/>
      <c r="L39" s="58"/>
      <c r="M39" s="58"/>
    </row>
    <row r="40" spans="1:13" ht="58.2" thickBot="1" x14ac:dyDescent="0.35">
      <c r="A40" s="72" t="s">
        <v>4</v>
      </c>
      <c r="B40" s="90" t="s">
        <v>212</v>
      </c>
      <c r="C40" s="72"/>
      <c r="D40" s="75"/>
      <c r="E40" s="72"/>
      <c r="F40" s="92" t="s">
        <v>49</v>
      </c>
      <c r="G40" s="92" t="s">
        <v>208</v>
      </c>
      <c r="H40" s="92" t="s">
        <v>101</v>
      </c>
      <c r="I40" s="92" t="s">
        <v>115</v>
      </c>
      <c r="J40" s="92"/>
      <c r="K40" s="92"/>
      <c r="L40" s="92"/>
      <c r="M40" s="91"/>
    </row>
    <row r="41" spans="1:13" ht="15" thickBot="1" x14ac:dyDescent="0.35">
      <c r="A41" s="72" t="s">
        <v>2</v>
      </c>
      <c r="B41" s="93">
        <f>SUM(B42:B96)</f>
        <v>1272648.9220338024</v>
      </c>
      <c r="C41" s="72"/>
      <c r="D41" s="75"/>
      <c r="E41" s="72"/>
      <c r="F41" s="92"/>
      <c r="G41" s="92"/>
      <c r="H41" s="92"/>
      <c r="I41" s="92"/>
      <c r="J41" s="92"/>
      <c r="K41" s="92"/>
      <c r="L41" s="92"/>
      <c r="M41" s="92"/>
    </row>
    <row r="42" spans="1:13" x14ac:dyDescent="0.3">
      <c r="A42" s="94">
        <v>2018</v>
      </c>
      <c r="B42" s="37">
        <f t="shared" ref="B42:B73" si="2">I42*(1/((1+$C$97)^(A42-2018)))</f>
        <v>0</v>
      </c>
      <c r="C42" s="95"/>
      <c r="D42" s="96"/>
      <c r="E42" s="95"/>
      <c r="F42" s="37">
        <f>$H$8</f>
        <v>2356321.8390804599</v>
      </c>
      <c r="G42" s="37"/>
      <c r="H42" s="131">
        <f>G42*$H$13/100000000</f>
        <v>0</v>
      </c>
      <c r="I42" s="79">
        <f>H42*$H$33</f>
        <v>0</v>
      </c>
      <c r="J42" s="37"/>
      <c r="K42" s="37"/>
      <c r="L42" s="37"/>
      <c r="M42" s="37"/>
    </row>
    <row r="43" spans="1:13" x14ac:dyDescent="0.3">
      <c r="A43" s="99">
        <v>2019</v>
      </c>
      <c r="B43" s="37">
        <f t="shared" si="2"/>
        <v>0</v>
      </c>
      <c r="C43" s="95"/>
      <c r="D43" s="96"/>
      <c r="E43" s="95"/>
      <c r="F43" s="37">
        <f>F42</f>
        <v>2356321.8390804599</v>
      </c>
      <c r="G43" s="37"/>
      <c r="H43" s="131">
        <f t="shared" ref="H43:H76" si="3">G43*$H$13/100000000</f>
        <v>0</v>
      </c>
      <c r="I43" s="79">
        <f t="shared" ref="I43:I76" si="4">H43*$H$33</f>
        <v>0</v>
      </c>
      <c r="J43" s="37"/>
      <c r="K43" s="37"/>
      <c r="L43" s="37"/>
      <c r="M43" s="37"/>
    </row>
    <row r="44" spans="1:13" x14ac:dyDescent="0.3">
      <c r="A44" s="99">
        <v>2020</v>
      </c>
      <c r="B44" s="37">
        <f t="shared" si="2"/>
        <v>0</v>
      </c>
      <c r="C44" s="95"/>
      <c r="D44" s="96"/>
      <c r="E44" s="95"/>
      <c r="F44" s="37">
        <f t="shared" ref="F44:F76" si="5">F43</f>
        <v>2356321.8390804599</v>
      </c>
      <c r="G44" s="37"/>
      <c r="H44" s="131">
        <f t="shared" si="3"/>
        <v>0</v>
      </c>
      <c r="I44" s="79">
        <f t="shared" si="4"/>
        <v>0</v>
      </c>
      <c r="J44" s="37"/>
      <c r="K44" s="37"/>
      <c r="L44" s="37"/>
      <c r="M44" s="37"/>
    </row>
    <row r="45" spans="1:13" x14ac:dyDescent="0.3">
      <c r="A45" s="99">
        <v>2021</v>
      </c>
      <c r="B45" s="37">
        <f t="shared" si="2"/>
        <v>0</v>
      </c>
      <c r="C45" s="95"/>
      <c r="D45" s="96"/>
      <c r="E45" s="95"/>
      <c r="F45" s="37">
        <f t="shared" si="5"/>
        <v>2356321.8390804599</v>
      </c>
      <c r="G45" s="37"/>
      <c r="H45" s="131">
        <f t="shared" si="3"/>
        <v>0</v>
      </c>
      <c r="I45" s="79">
        <f t="shared" si="4"/>
        <v>0</v>
      </c>
      <c r="J45" s="37"/>
      <c r="K45" s="37"/>
      <c r="L45" s="37"/>
      <c r="M45" s="37"/>
    </row>
    <row r="46" spans="1:13" x14ac:dyDescent="0.3">
      <c r="A46" s="99">
        <v>2022</v>
      </c>
      <c r="B46" s="37">
        <f t="shared" si="2"/>
        <v>0</v>
      </c>
      <c r="C46" s="95"/>
      <c r="D46" s="96"/>
      <c r="E46" s="95"/>
      <c r="F46" s="37">
        <f>F45</f>
        <v>2356321.8390804599</v>
      </c>
      <c r="G46" s="37"/>
      <c r="H46" s="131">
        <f t="shared" si="3"/>
        <v>0</v>
      </c>
      <c r="I46" s="79">
        <f t="shared" si="4"/>
        <v>0</v>
      </c>
      <c r="J46" s="37"/>
      <c r="K46" s="37"/>
      <c r="L46" s="37"/>
      <c r="M46" s="37"/>
    </row>
    <row r="47" spans="1:13" x14ac:dyDescent="0.3">
      <c r="A47" s="99">
        <v>2023</v>
      </c>
      <c r="B47" s="37">
        <f t="shared" si="2"/>
        <v>0</v>
      </c>
      <c r="C47" s="95"/>
      <c r="D47" s="96"/>
      <c r="E47" s="95"/>
      <c r="F47" s="37">
        <f t="shared" si="5"/>
        <v>2356321.8390804599</v>
      </c>
      <c r="G47" s="37"/>
      <c r="H47" s="131">
        <f t="shared" si="3"/>
        <v>0</v>
      </c>
      <c r="I47" s="79">
        <f t="shared" si="4"/>
        <v>0</v>
      </c>
      <c r="J47" s="37"/>
      <c r="K47" s="37"/>
      <c r="L47" s="37"/>
      <c r="M47" s="37"/>
    </row>
    <row r="48" spans="1:13" x14ac:dyDescent="0.3">
      <c r="A48" s="99">
        <v>2024</v>
      </c>
      <c r="B48" s="37">
        <f t="shared" si="2"/>
        <v>0</v>
      </c>
      <c r="C48" s="95"/>
      <c r="D48" s="96"/>
      <c r="E48" s="95"/>
      <c r="F48" s="37">
        <f t="shared" si="5"/>
        <v>2356321.8390804599</v>
      </c>
      <c r="G48" s="37"/>
      <c r="H48" s="131">
        <f t="shared" si="3"/>
        <v>0</v>
      </c>
      <c r="I48" s="79">
        <f t="shared" si="4"/>
        <v>0</v>
      </c>
      <c r="J48" s="37"/>
      <c r="K48" s="37"/>
      <c r="L48" s="37"/>
      <c r="M48" s="37"/>
    </row>
    <row r="49" spans="1:13" x14ac:dyDescent="0.3">
      <c r="A49" s="99">
        <v>2025</v>
      </c>
      <c r="B49" s="37">
        <f t="shared" si="2"/>
        <v>0</v>
      </c>
      <c r="C49" s="95"/>
      <c r="D49" s="96"/>
      <c r="E49" s="95"/>
      <c r="F49" s="37">
        <f t="shared" si="5"/>
        <v>2356321.8390804599</v>
      </c>
      <c r="G49" s="37"/>
      <c r="H49" s="131">
        <f t="shared" si="3"/>
        <v>0</v>
      </c>
      <c r="I49" s="79">
        <f t="shared" si="4"/>
        <v>0</v>
      </c>
      <c r="J49" s="37"/>
      <c r="K49" s="37"/>
      <c r="L49" s="37"/>
      <c r="M49" s="37"/>
    </row>
    <row r="50" spans="1:13" x14ac:dyDescent="0.3">
      <c r="A50" s="99">
        <v>2026</v>
      </c>
      <c r="B50" s="37">
        <f t="shared" si="2"/>
        <v>0</v>
      </c>
      <c r="C50" s="95"/>
      <c r="D50" s="96"/>
      <c r="E50" s="95"/>
      <c r="F50" s="37">
        <f t="shared" si="5"/>
        <v>2356321.8390804599</v>
      </c>
      <c r="G50" s="37"/>
      <c r="H50" s="131">
        <f t="shared" si="3"/>
        <v>0</v>
      </c>
      <c r="I50" s="79">
        <f t="shared" si="4"/>
        <v>0</v>
      </c>
      <c r="J50" s="37"/>
      <c r="K50" s="37"/>
      <c r="L50" s="37"/>
      <c r="M50" s="37"/>
    </row>
    <row r="51" spans="1:13" x14ac:dyDescent="0.3">
      <c r="A51" s="99">
        <v>2027</v>
      </c>
      <c r="B51" s="37">
        <f t="shared" si="2"/>
        <v>0</v>
      </c>
      <c r="C51" s="95"/>
      <c r="D51" s="96"/>
      <c r="E51" s="95"/>
      <c r="F51" s="37">
        <f t="shared" si="5"/>
        <v>2356321.8390804599</v>
      </c>
      <c r="G51" s="37"/>
      <c r="H51" s="131">
        <f t="shared" si="3"/>
        <v>0</v>
      </c>
      <c r="I51" s="79">
        <f t="shared" si="4"/>
        <v>0</v>
      </c>
      <c r="J51" s="37"/>
      <c r="K51" s="37"/>
      <c r="L51" s="37"/>
      <c r="M51" s="37"/>
    </row>
    <row r="52" spans="1:13" x14ac:dyDescent="0.3">
      <c r="A52" s="99">
        <v>2028</v>
      </c>
      <c r="B52" s="37">
        <f t="shared" si="2"/>
        <v>93442.817814884213</v>
      </c>
      <c r="C52" s="95"/>
      <c r="D52" s="96"/>
      <c r="E52" s="95"/>
      <c r="F52" s="37">
        <f t="shared" si="5"/>
        <v>2356321.8390804599</v>
      </c>
      <c r="G52" s="37">
        <f t="shared" ref="G52:G76" si="6">F52*((1+$H$10)^(A52-2035))</f>
        <v>2197783.9220110667</v>
      </c>
      <c r="H52" s="131">
        <f t="shared" si="3"/>
        <v>3.5845855768000496</v>
      </c>
      <c r="I52" s="79">
        <f t="shared" si="4"/>
        <v>183816.16589351109</v>
      </c>
      <c r="J52" s="37"/>
      <c r="K52" s="37"/>
      <c r="L52" s="37"/>
      <c r="M52" s="37"/>
    </row>
    <row r="53" spans="1:13" x14ac:dyDescent="0.3">
      <c r="A53" s="99">
        <v>2029</v>
      </c>
      <c r="B53" s="37">
        <f t="shared" si="2"/>
        <v>88203.033638348614</v>
      </c>
      <c r="C53" s="95"/>
      <c r="D53" s="96"/>
      <c r="E53" s="95"/>
      <c r="F53" s="37">
        <f t="shared" si="5"/>
        <v>2356321.8390804599</v>
      </c>
      <c r="G53" s="37">
        <f t="shared" si="6"/>
        <v>2219761.7612311766</v>
      </c>
      <c r="H53" s="131">
        <f t="shared" si="3"/>
        <v>3.6204314325680489</v>
      </c>
      <c r="I53" s="79">
        <f t="shared" si="4"/>
        <v>185654.32755244614</v>
      </c>
      <c r="J53" s="37"/>
      <c r="K53" s="37"/>
      <c r="L53" s="37"/>
      <c r="M53" s="37"/>
    </row>
    <row r="54" spans="1:13" x14ac:dyDescent="0.3">
      <c r="A54" s="99">
        <v>2030</v>
      </c>
      <c r="B54" s="37">
        <f t="shared" si="2"/>
        <v>83257.06913526365</v>
      </c>
      <c r="C54" s="95"/>
      <c r="D54" s="96"/>
      <c r="E54" s="95"/>
      <c r="F54" s="37">
        <f t="shared" si="5"/>
        <v>2356321.8390804599</v>
      </c>
      <c r="G54" s="37">
        <f t="shared" si="6"/>
        <v>2241959.3788434886</v>
      </c>
      <c r="H54" s="131">
        <f t="shared" si="3"/>
        <v>3.6566357468937296</v>
      </c>
      <c r="I54" s="79">
        <f t="shared" si="4"/>
        <v>187510.87082797059</v>
      </c>
      <c r="J54" s="37"/>
      <c r="K54" s="37"/>
      <c r="L54" s="37"/>
      <c r="M54" s="37"/>
    </row>
    <row r="55" spans="1:13" x14ac:dyDescent="0.3">
      <c r="A55" s="99">
        <v>2031</v>
      </c>
      <c r="B55" s="37">
        <f t="shared" si="2"/>
        <v>78588.448436089995</v>
      </c>
      <c r="C55" s="95"/>
      <c r="D55" s="96"/>
      <c r="E55" s="95"/>
      <c r="F55" s="37">
        <f t="shared" si="5"/>
        <v>2356321.8390804599</v>
      </c>
      <c r="G55" s="37">
        <f t="shared" si="6"/>
        <v>2264378.9726319234</v>
      </c>
      <c r="H55" s="131">
        <f t="shared" si="3"/>
        <v>3.6932021043626673</v>
      </c>
      <c r="I55" s="79">
        <f t="shared" si="4"/>
        <v>189385.97953625032</v>
      </c>
      <c r="J55" s="37"/>
      <c r="K55" s="37"/>
      <c r="L55" s="37"/>
      <c r="M55" s="37"/>
    </row>
    <row r="56" spans="1:13" x14ac:dyDescent="0.3">
      <c r="A56" s="99">
        <v>2032</v>
      </c>
      <c r="B56" s="37">
        <f t="shared" si="2"/>
        <v>74181.619551823271</v>
      </c>
      <c r="C56" s="95"/>
      <c r="D56" s="96"/>
      <c r="E56" s="95"/>
      <c r="F56" s="37">
        <f t="shared" si="5"/>
        <v>2356321.8390804599</v>
      </c>
      <c r="G56" s="37">
        <f t="shared" si="6"/>
        <v>2287022.7623582431</v>
      </c>
      <c r="H56" s="131">
        <f t="shared" si="3"/>
        <v>3.7301341254062943</v>
      </c>
      <c r="I56" s="79">
        <f t="shared" si="4"/>
        <v>191279.83933161283</v>
      </c>
      <c r="J56" s="37"/>
      <c r="K56" s="37"/>
      <c r="L56" s="37"/>
      <c r="M56" s="37"/>
    </row>
    <row r="57" spans="1:13" x14ac:dyDescent="0.3">
      <c r="A57" s="99">
        <v>2033</v>
      </c>
      <c r="B57" s="37">
        <f t="shared" si="2"/>
        <v>70021.902567608864</v>
      </c>
      <c r="C57" s="95"/>
      <c r="D57" s="96"/>
      <c r="E57" s="95"/>
      <c r="F57" s="37">
        <f t="shared" si="5"/>
        <v>2356321.8390804599</v>
      </c>
      <c r="G57" s="37">
        <f t="shared" si="6"/>
        <v>2309892.989981825</v>
      </c>
      <c r="H57" s="131">
        <f t="shared" si="3"/>
        <v>3.7674354666603564</v>
      </c>
      <c r="I57" s="79">
        <f t="shared" si="4"/>
        <v>193192.63772492894</v>
      </c>
      <c r="J57" s="37"/>
      <c r="K57" s="37"/>
      <c r="L57" s="37"/>
      <c r="M57" s="37"/>
    </row>
    <row r="58" spans="1:13" x14ac:dyDescent="0.3">
      <c r="A58" s="99">
        <v>2034</v>
      </c>
      <c r="B58" s="37">
        <f t="shared" si="2"/>
        <v>66095.440741387822</v>
      </c>
      <c r="C58" s="95"/>
      <c r="D58" s="96"/>
      <c r="E58" s="95"/>
      <c r="F58" s="37">
        <f t="shared" si="5"/>
        <v>2356321.8390804599</v>
      </c>
      <c r="G58" s="37">
        <f t="shared" si="6"/>
        <v>2332991.9198816433</v>
      </c>
      <c r="H58" s="131">
        <f t="shared" si="3"/>
        <v>3.8051098213269605</v>
      </c>
      <c r="I58" s="79">
        <f t="shared" si="4"/>
        <v>195124.56410217824</v>
      </c>
      <c r="J58" s="37"/>
      <c r="K58" s="37"/>
      <c r="L58" s="37"/>
      <c r="M58" s="37"/>
    </row>
    <row r="59" spans="1:13" x14ac:dyDescent="0.3">
      <c r="A59" s="99">
        <v>2035</v>
      </c>
      <c r="B59" s="37">
        <f t="shared" si="2"/>
        <v>62389.154344674491</v>
      </c>
      <c r="C59" s="95"/>
      <c r="D59" s="96"/>
      <c r="E59" s="95"/>
      <c r="F59" s="37">
        <f t="shared" si="5"/>
        <v>2356321.8390804599</v>
      </c>
      <c r="G59" s="37">
        <f t="shared" si="6"/>
        <v>2356321.8390804599</v>
      </c>
      <c r="H59" s="131">
        <f t="shared" si="3"/>
        <v>3.8431609195402299</v>
      </c>
      <c r="I59" s="79">
        <f t="shared" si="4"/>
        <v>197075.80974320002</v>
      </c>
      <c r="J59" s="37"/>
      <c r="K59" s="37"/>
      <c r="L59" s="37"/>
      <c r="M59" s="37"/>
    </row>
    <row r="60" spans="1:13" x14ac:dyDescent="0.3">
      <c r="A60" s="99">
        <v>2036</v>
      </c>
      <c r="B60" s="37">
        <f t="shared" si="2"/>
        <v>58890.697091702081</v>
      </c>
      <c r="C60" s="95"/>
      <c r="D60" s="96"/>
      <c r="E60" s="95"/>
      <c r="F60" s="37">
        <f t="shared" si="5"/>
        <v>2356321.8390804599</v>
      </c>
      <c r="G60" s="37">
        <f t="shared" si="6"/>
        <v>2379885.0574712646</v>
      </c>
      <c r="H60" s="131">
        <f t="shared" si="3"/>
        <v>3.8815925287356321</v>
      </c>
      <c r="I60" s="79">
        <f t="shared" si="4"/>
        <v>199046.56784063202</v>
      </c>
      <c r="J60" s="37"/>
      <c r="K60" s="37"/>
      <c r="L60" s="37"/>
      <c r="M60" s="37"/>
    </row>
    <row r="61" spans="1:13" x14ac:dyDescent="0.3">
      <c r="A61" s="99">
        <v>2037</v>
      </c>
      <c r="B61" s="37">
        <f t="shared" si="2"/>
        <v>55588.415011793557</v>
      </c>
      <c r="C61" s="95"/>
      <c r="D61" s="96"/>
      <c r="E61" s="95"/>
      <c r="F61" s="37">
        <f t="shared" si="5"/>
        <v>2356321.8390804599</v>
      </c>
      <c r="G61" s="37">
        <f t="shared" si="6"/>
        <v>2403683.9080459774</v>
      </c>
      <c r="H61" s="131">
        <f t="shared" si="3"/>
        <v>3.9204084540229887</v>
      </c>
      <c r="I61" s="79">
        <f t="shared" si="4"/>
        <v>201037.03351903835</v>
      </c>
      <c r="J61" s="37"/>
      <c r="K61" s="37"/>
      <c r="L61" s="37"/>
      <c r="M61" s="37"/>
    </row>
    <row r="62" spans="1:13" x14ac:dyDescent="0.3">
      <c r="A62" s="99">
        <v>2038</v>
      </c>
      <c r="B62" s="37">
        <f t="shared" si="2"/>
        <v>52471.307627954659</v>
      </c>
      <c r="C62" s="95"/>
      <c r="D62" s="96"/>
      <c r="E62" s="95"/>
      <c r="F62" s="37">
        <f t="shared" si="5"/>
        <v>2356321.8390804599</v>
      </c>
      <c r="G62" s="37">
        <f t="shared" si="6"/>
        <v>2427720.7471264368</v>
      </c>
      <c r="H62" s="131">
        <f t="shared" si="3"/>
        <v>3.9596125385632179</v>
      </c>
      <c r="I62" s="79">
        <f t="shared" si="4"/>
        <v>203047.4038542287</v>
      </c>
      <c r="J62" s="37"/>
      <c r="K62" s="37"/>
      <c r="L62" s="37"/>
      <c r="M62" s="37"/>
    </row>
    <row r="63" spans="1:13" x14ac:dyDescent="0.3">
      <c r="A63" s="99">
        <v>2039</v>
      </c>
      <c r="B63" s="37">
        <f t="shared" si="2"/>
        <v>49528.991312368424</v>
      </c>
      <c r="C63" s="95"/>
      <c r="D63" s="96"/>
      <c r="E63" s="95"/>
      <c r="F63" s="37">
        <f t="shared" si="5"/>
        <v>2356321.8390804599</v>
      </c>
      <c r="G63" s="37">
        <f t="shared" si="6"/>
        <v>2451997.9545977013</v>
      </c>
      <c r="H63" s="131">
        <f t="shared" si="3"/>
        <v>3.9992086639488504</v>
      </c>
      <c r="I63" s="79">
        <f t="shared" si="4"/>
        <v>205077.87789277101</v>
      </c>
      <c r="J63" s="37"/>
      <c r="K63" s="37"/>
      <c r="L63" s="37"/>
      <c r="M63" s="37"/>
    </row>
    <row r="64" spans="1:13" x14ac:dyDescent="0.3">
      <c r="A64" s="99">
        <v>2040</v>
      </c>
      <c r="B64" s="37">
        <f t="shared" si="2"/>
        <v>46751.6646967216</v>
      </c>
      <c r="C64" s="95"/>
      <c r="D64" s="96"/>
      <c r="E64" s="95"/>
      <c r="F64" s="37">
        <f t="shared" si="5"/>
        <v>2356321.8390804599</v>
      </c>
      <c r="G64" s="37">
        <f t="shared" si="6"/>
        <v>2476517.9341436783</v>
      </c>
      <c r="H64" s="131">
        <f t="shared" si="3"/>
        <v>4.0392007505883392</v>
      </c>
      <c r="I64" s="79">
        <f t="shared" si="4"/>
        <v>207128.65667169873</v>
      </c>
      <c r="J64" s="37"/>
      <c r="K64" s="37"/>
      <c r="L64" s="37"/>
      <c r="M64" s="37"/>
    </row>
    <row r="65" spans="1:13" x14ac:dyDescent="0.3">
      <c r="A65" s="99">
        <v>2041</v>
      </c>
      <c r="B65" s="37">
        <f t="shared" si="2"/>
        <v>44130.076022139074</v>
      </c>
      <c r="C65" s="95"/>
      <c r="D65" s="96"/>
      <c r="E65" s="95"/>
      <c r="F65" s="37">
        <f t="shared" si="5"/>
        <v>2356321.8390804599</v>
      </c>
      <c r="G65" s="37">
        <f t="shared" si="6"/>
        <v>2501283.1134851156</v>
      </c>
      <c r="H65" s="131">
        <f t="shared" si="3"/>
        <v>4.0795927580942228</v>
      </c>
      <c r="I65" s="79">
        <f t="shared" si="4"/>
        <v>209199.94323841573</v>
      </c>
      <c r="J65" s="37"/>
      <c r="K65" s="37"/>
      <c r="L65" s="37"/>
      <c r="M65" s="37"/>
    </row>
    <row r="66" spans="1:13" x14ac:dyDescent="0.3">
      <c r="A66" s="99">
        <v>2042</v>
      </c>
      <c r="B66" s="37">
        <f t="shared" si="2"/>
        <v>41655.492319963043</v>
      </c>
      <c r="C66" s="95"/>
      <c r="D66" s="96"/>
      <c r="E66" s="95"/>
      <c r="F66" s="37">
        <f t="shared" si="5"/>
        <v>2356321.8390804599</v>
      </c>
      <c r="G66" s="37">
        <f t="shared" si="6"/>
        <v>2526295.9446199657</v>
      </c>
      <c r="H66" s="131">
        <f t="shared" si="3"/>
        <v>4.1203886856751639</v>
      </c>
      <c r="I66" s="79">
        <f t="shared" si="4"/>
        <v>211291.94267079982</v>
      </c>
      <c r="J66" s="37"/>
      <c r="K66" s="37"/>
      <c r="L66" s="37"/>
      <c r="M66" s="37"/>
    </row>
    <row r="67" spans="1:13" x14ac:dyDescent="0.3">
      <c r="A67" s="99">
        <v>2043</v>
      </c>
      <c r="B67" s="37">
        <f t="shared" si="2"/>
        <v>39319.670320712787</v>
      </c>
      <c r="C67" s="95"/>
      <c r="D67" s="96"/>
      <c r="E67" s="95"/>
      <c r="F67" s="37">
        <f t="shared" si="5"/>
        <v>2356321.8390804599</v>
      </c>
      <c r="G67" s="37">
        <f t="shared" si="6"/>
        <v>2551558.9040661664</v>
      </c>
      <c r="H67" s="131">
        <f t="shared" si="3"/>
        <v>4.1615925725319167</v>
      </c>
      <c r="I67" s="79">
        <f t="shared" si="4"/>
        <v>213404.8620975079</v>
      </c>
      <c r="J67" s="37"/>
      <c r="K67" s="37"/>
      <c r="L67" s="37"/>
      <c r="M67" s="37"/>
    </row>
    <row r="68" spans="1:13" x14ac:dyDescent="0.3">
      <c r="A68" s="99">
        <v>2044</v>
      </c>
      <c r="B68" s="37">
        <f t="shared" si="2"/>
        <v>37114.828994317686</v>
      </c>
      <c r="C68" s="95"/>
      <c r="D68" s="96"/>
      <c r="E68" s="95"/>
      <c r="F68" s="37">
        <f t="shared" si="5"/>
        <v>2356321.8390804599</v>
      </c>
      <c r="G68" s="37">
        <f t="shared" si="6"/>
        <v>2577074.4931068281</v>
      </c>
      <c r="H68" s="131">
        <f t="shared" si="3"/>
        <v>4.2032084982572364</v>
      </c>
      <c r="I68" s="79">
        <f t="shared" si="4"/>
        <v>215538.91071848298</v>
      </c>
      <c r="J68" s="37"/>
      <c r="K68" s="37"/>
      <c r="L68" s="37"/>
      <c r="M68" s="37"/>
    </row>
    <row r="69" spans="1:13" x14ac:dyDescent="0.3">
      <c r="A69" s="99">
        <v>2045</v>
      </c>
      <c r="B69" s="37">
        <f t="shared" si="2"/>
        <v>35033.62363015033</v>
      </c>
      <c r="C69" s="95"/>
      <c r="D69" s="96"/>
      <c r="E69" s="95"/>
      <c r="F69" s="37">
        <f t="shared" si="5"/>
        <v>2356321.8390804599</v>
      </c>
      <c r="G69" s="37">
        <f t="shared" si="6"/>
        <v>2602845.2380378963</v>
      </c>
      <c r="H69" s="131">
        <f t="shared" si="3"/>
        <v>4.2452405832398084</v>
      </c>
      <c r="I69" s="79">
        <f t="shared" si="4"/>
        <v>217694.29982566781</v>
      </c>
      <c r="J69" s="37"/>
      <c r="K69" s="37"/>
      <c r="L69" s="37"/>
      <c r="M69" s="37"/>
    </row>
    <row r="70" spans="1:13" x14ac:dyDescent="0.3">
      <c r="A70" s="99">
        <v>2046</v>
      </c>
      <c r="B70" s="37">
        <f t="shared" si="2"/>
        <v>33069.121370515735</v>
      </c>
      <c r="C70" s="95"/>
      <c r="D70" s="96"/>
      <c r="E70" s="95"/>
      <c r="F70" s="37">
        <f t="shared" si="5"/>
        <v>2356321.8390804599</v>
      </c>
      <c r="G70" s="37">
        <f t="shared" si="6"/>
        <v>2628873.6904182746</v>
      </c>
      <c r="H70" s="131">
        <f t="shared" si="3"/>
        <v>4.2876929890722062</v>
      </c>
      <c r="I70" s="79">
        <f t="shared" si="4"/>
        <v>219871.24282392446</v>
      </c>
      <c r="J70" s="37"/>
      <c r="K70" s="37"/>
      <c r="L70" s="37"/>
      <c r="M70" s="37"/>
    </row>
    <row r="71" spans="1:13" x14ac:dyDescent="0.3">
      <c r="A71" s="99">
        <v>2047</v>
      </c>
      <c r="B71" s="37">
        <f t="shared" si="2"/>
        <v>31214.778116094287</v>
      </c>
      <c r="C71" s="95"/>
      <c r="D71" s="96"/>
      <c r="E71" s="95"/>
      <c r="F71" s="37">
        <f t="shared" si="5"/>
        <v>2356321.8390804599</v>
      </c>
      <c r="G71" s="37">
        <f t="shared" si="6"/>
        <v>2655162.4273224575</v>
      </c>
      <c r="H71" s="131">
        <f t="shared" si="3"/>
        <v>4.3305699189629276</v>
      </c>
      <c r="I71" s="79">
        <f t="shared" si="4"/>
        <v>222069.95525216367</v>
      </c>
      <c r="J71" s="37"/>
      <c r="K71" s="37"/>
      <c r="L71" s="37"/>
      <c r="M71" s="37"/>
    </row>
    <row r="72" spans="1:13" x14ac:dyDescent="0.3">
      <c r="A72" s="99">
        <v>2048</v>
      </c>
      <c r="B72" s="37">
        <f t="shared" si="2"/>
        <v>29464.416726406766</v>
      </c>
      <c r="C72" s="95"/>
      <c r="D72" s="96"/>
      <c r="E72" s="95"/>
      <c r="F72" s="37">
        <f t="shared" si="5"/>
        <v>2356321.8390804599</v>
      </c>
      <c r="G72" s="37">
        <f t="shared" si="6"/>
        <v>2681714.0515956823</v>
      </c>
      <c r="H72" s="131">
        <f t="shared" si="3"/>
        <v>4.3738756181525575</v>
      </c>
      <c r="I72" s="79">
        <f t="shared" si="4"/>
        <v>224290.65480468536</v>
      </c>
      <c r="J72" s="37"/>
      <c r="K72" s="37"/>
      <c r="L72" s="37"/>
      <c r="M72" s="37"/>
    </row>
    <row r="73" spans="1:13" x14ac:dyDescent="0.3">
      <c r="A73" s="99">
        <v>2049</v>
      </c>
      <c r="B73" s="37">
        <f t="shared" si="2"/>
        <v>27812.206442683015</v>
      </c>
      <c r="C73" s="95"/>
      <c r="D73" s="96"/>
      <c r="E73" s="95"/>
      <c r="F73" s="37">
        <f t="shared" si="5"/>
        <v>2356321.8390804599</v>
      </c>
      <c r="G73" s="37">
        <f t="shared" si="6"/>
        <v>2708531.1921116393</v>
      </c>
      <c r="H73" s="131">
        <f t="shared" si="3"/>
        <v>4.4176143743340841</v>
      </c>
      <c r="I73" s="79">
        <f t="shared" si="4"/>
        <v>226533.56135273224</v>
      </c>
      <c r="J73" s="37"/>
      <c r="K73" s="37"/>
      <c r="L73" s="37"/>
      <c r="M73" s="37"/>
    </row>
    <row r="74" spans="1:13" x14ac:dyDescent="0.3">
      <c r="A74" s="99">
        <v>2050</v>
      </c>
      <c r="B74" s="37">
        <f t="shared" ref="B74:B76" si="7">I74*(1/((1+$C$97)^(A74-2018)))</f>
        <v>26252.643464588637</v>
      </c>
      <c r="C74" s="95"/>
      <c r="D74" s="96"/>
      <c r="E74" s="95"/>
      <c r="F74" s="37">
        <f t="shared" si="5"/>
        <v>2356321.8390804599</v>
      </c>
      <c r="G74" s="37">
        <f t="shared" si="6"/>
        <v>2735616.5040327553</v>
      </c>
      <c r="H74" s="131">
        <f t="shared" si="3"/>
        <v>4.4617905180774233</v>
      </c>
      <c r="I74" s="79">
        <f t="shared" si="4"/>
        <v>228798.89696625949</v>
      </c>
      <c r="J74" s="37"/>
      <c r="K74" s="37"/>
      <c r="L74" s="37"/>
      <c r="M74" s="37"/>
    </row>
    <row r="75" spans="1:13" x14ac:dyDescent="0.3">
      <c r="A75" s="99">
        <v>2051</v>
      </c>
      <c r="B75" s="37">
        <f t="shared" si="7"/>
        <v>24780.532616107037</v>
      </c>
      <c r="C75" s="95"/>
      <c r="D75" s="96"/>
      <c r="E75" s="95"/>
      <c r="F75" s="37">
        <f t="shared" si="5"/>
        <v>2356321.8390804599</v>
      </c>
      <c r="G75" s="37">
        <f t="shared" si="6"/>
        <v>2762972.6690730834</v>
      </c>
      <c r="H75" s="131">
        <f t="shared" si="3"/>
        <v>4.5064084232581987</v>
      </c>
      <c r="I75" s="79">
        <f t="shared" si="4"/>
        <v>231086.88593592215</v>
      </c>
      <c r="J75" s="37"/>
      <c r="K75" s="37"/>
      <c r="L75" s="37"/>
      <c r="M75" s="37"/>
    </row>
    <row r="76" spans="1:13" x14ac:dyDescent="0.3">
      <c r="A76" s="99">
        <v>2052</v>
      </c>
      <c r="B76" s="37">
        <f t="shared" si="7"/>
        <v>23390.97003950291</v>
      </c>
      <c r="C76" s="95"/>
      <c r="D76" s="96"/>
      <c r="E76" s="95"/>
      <c r="F76" s="37">
        <f t="shared" si="5"/>
        <v>2356321.8390804599</v>
      </c>
      <c r="G76" s="37">
        <f t="shared" si="6"/>
        <v>2790602.3957638144</v>
      </c>
      <c r="H76" s="131">
        <f t="shared" si="3"/>
        <v>4.5514725074907814</v>
      </c>
      <c r="I76" s="79">
        <f t="shared" si="4"/>
        <v>233397.75479528139</v>
      </c>
      <c r="J76" s="37"/>
      <c r="K76" s="37"/>
      <c r="L76" s="37"/>
      <c r="M76" s="37"/>
    </row>
    <row r="77" spans="1:13" x14ac:dyDescent="0.3">
      <c r="A77" s="99"/>
      <c r="B77" s="37"/>
      <c r="C77" s="95"/>
      <c r="D77" s="96"/>
      <c r="E77" s="95"/>
      <c r="F77" s="37"/>
      <c r="G77" s="37"/>
      <c r="H77" s="131"/>
      <c r="I77" s="79"/>
      <c r="J77" s="37"/>
      <c r="K77" s="37"/>
      <c r="L77" s="37"/>
      <c r="M77" s="37"/>
    </row>
    <row r="78" spans="1:13" x14ac:dyDescent="0.3">
      <c r="A78" s="99"/>
      <c r="B78" s="37"/>
      <c r="C78" s="95"/>
      <c r="D78" s="96"/>
      <c r="E78" s="95"/>
      <c r="F78" s="37"/>
      <c r="G78" s="37"/>
      <c r="H78" s="131"/>
      <c r="I78" s="79"/>
      <c r="J78" s="37"/>
      <c r="K78" s="37"/>
      <c r="L78" s="37"/>
      <c r="M78" s="37"/>
    </row>
    <row r="79" spans="1:13" x14ac:dyDescent="0.3">
      <c r="A79" s="99"/>
      <c r="B79" s="37"/>
      <c r="C79" s="95"/>
      <c r="D79" s="96"/>
      <c r="E79" s="95"/>
      <c r="F79" s="37"/>
      <c r="G79" s="37"/>
      <c r="H79" s="131"/>
      <c r="I79" s="79"/>
      <c r="J79" s="37"/>
      <c r="K79" s="37"/>
      <c r="L79" s="37"/>
      <c r="M79" s="37"/>
    </row>
    <row r="80" spans="1:13" x14ac:dyDescent="0.3">
      <c r="A80" s="99"/>
      <c r="B80" s="37"/>
      <c r="C80" s="95"/>
      <c r="D80" s="96"/>
      <c r="E80" s="95"/>
      <c r="F80" s="37"/>
      <c r="G80" s="37"/>
      <c r="H80" s="131"/>
      <c r="I80" s="79"/>
      <c r="J80" s="37"/>
      <c r="K80" s="37"/>
      <c r="L80" s="37"/>
      <c r="M80" s="37"/>
    </row>
    <row r="81" spans="1:16" x14ac:dyDescent="0.3">
      <c r="A81" s="99"/>
      <c r="B81" s="37"/>
      <c r="C81" s="95"/>
      <c r="D81" s="96"/>
      <c r="E81" s="95"/>
      <c r="F81" s="37"/>
      <c r="G81" s="37"/>
      <c r="H81" s="131"/>
      <c r="I81" s="79"/>
      <c r="J81" s="37"/>
      <c r="K81" s="37"/>
      <c r="L81" s="37"/>
      <c r="M81" s="37"/>
    </row>
    <row r="82" spans="1:16" x14ac:dyDescent="0.3">
      <c r="A82" s="99"/>
      <c r="B82" s="37"/>
      <c r="C82" s="95"/>
      <c r="D82" s="96"/>
      <c r="E82" s="95"/>
      <c r="F82" s="37"/>
      <c r="G82" s="37"/>
      <c r="H82" s="131"/>
      <c r="I82" s="79"/>
      <c r="J82" s="37"/>
      <c r="K82" s="37"/>
      <c r="L82" s="37"/>
      <c r="M82" s="37"/>
    </row>
    <row r="83" spans="1:16" x14ac:dyDescent="0.3">
      <c r="A83" s="99"/>
      <c r="B83" s="37"/>
      <c r="C83" s="95"/>
      <c r="D83" s="96"/>
      <c r="E83" s="95"/>
      <c r="F83" s="37"/>
      <c r="G83" s="37"/>
      <c r="H83" s="131"/>
      <c r="I83" s="79"/>
      <c r="J83" s="37"/>
      <c r="K83" s="37"/>
      <c r="L83" s="37"/>
      <c r="M83" s="37"/>
    </row>
    <row r="84" spans="1:16" x14ac:dyDescent="0.3">
      <c r="A84" s="99"/>
      <c r="B84" s="37"/>
      <c r="C84" s="95"/>
      <c r="D84" s="96"/>
      <c r="E84" s="95"/>
      <c r="F84" s="37"/>
      <c r="G84" s="37"/>
      <c r="H84" s="131"/>
      <c r="I84" s="79"/>
      <c r="J84" s="37"/>
      <c r="K84" s="37"/>
      <c r="L84" s="37"/>
      <c r="M84" s="37"/>
    </row>
    <row r="85" spans="1:16" x14ac:dyDescent="0.3">
      <c r="A85" s="99"/>
      <c r="B85" s="37"/>
      <c r="C85" s="95"/>
      <c r="D85" s="96"/>
      <c r="E85" s="95"/>
      <c r="F85" s="37"/>
      <c r="G85" s="37"/>
      <c r="H85" s="131"/>
      <c r="I85" s="79"/>
      <c r="J85" s="37"/>
      <c r="K85" s="37"/>
      <c r="L85" s="37"/>
      <c r="M85" s="37"/>
    </row>
    <row r="86" spans="1:16" x14ac:dyDescent="0.3">
      <c r="A86" s="99"/>
      <c r="B86" s="37"/>
      <c r="C86" s="95"/>
      <c r="D86" s="96"/>
      <c r="E86" s="95"/>
      <c r="F86" s="37"/>
      <c r="G86" s="37"/>
      <c r="H86" s="131"/>
      <c r="I86" s="79"/>
      <c r="J86" s="37"/>
      <c r="K86" s="37"/>
      <c r="L86" s="37"/>
      <c r="M86" s="37"/>
    </row>
    <row r="87" spans="1:16" x14ac:dyDescent="0.3">
      <c r="A87" s="99"/>
      <c r="B87" s="37"/>
      <c r="C87" s="95"/>
      <c r="D87" s="96"/>
      <c r="E87" s="95"/>
      <c r="F87" s="37"/>
      <c r="G87" s="37"/>
      <c r="H87" s="131"/>
      <c r="I87" s="79"/>
      <c r="J87" s="37"/>
      <c r="K87" s="37"/>
      <c r="L87" s="37"/>
      <c r="M87" s="37"/>
    </row>
    <row r="88" spans="1:16" x14ac:dyDescent="0.3">
      <c r="A88" s="99"/>
      <c r="B88" s="37"/>
      <c r="C88" s="95"/>
      <c r="D88" s="96"/>
      <c r="E88" s="95"/>
      <c r="F88" s="37"/>
      <c r="G88" s="37"/>
      <c r="H88" s="131"/>
      <c r="I88" s="79"/>
      <c r="J88" s="37"/>
      <c r="K88" s="37"/>
      <c r="L88" s="37"/>
      <c r="M88" s="37"/>
    </row>
    <row r="89" spans="1:16" x14ac:dyDescent="0.3">
      <c r="A89" s="99"/>
      <c r="B89" s="37"/>
      <c r="C89" s="95"/>
      <c r="D89" s="96"/>
      <c r="E89" s="95"/>
      <c r="F89" s="37"/>
      <c r="G89" s="37"/>
      <c r="H89" s="131"/>
      <c r="I89" s="79"/>
      <c r="J89" s="37"/>
      <c r="K89" s="37"/>
      <c r="L89" s="37"/>
      <c r="M89" s="37"/>
    </row>
    <row r="90" spans="1:16" x14ac:dyDescent="0.3">
      <c r="A90" s="99"/>
      <c r="B90" s="37"/>
      <c r="C90" s="95"/>
      <c r="D90" s="96"/>
      <c r="E90" s="95"/>
      <c r="F90" s="37"/>
      <c r="G90" s="37"/>
      <c r="H90" s="131"/>
      <c r="I90" s="79"/>
      <c r="J90" s="37"/>
      <c r="K90" s="37"/>
      <c r="L90" s="37"/>
      <c r="M90" s="37"/>
    </row>
    <row r="91" spans="1:16" x14ac:dyDescent="0.3">
      <c r="A91" s="99"/>
      <c r="B91" s="37"/>
      <c r="C91" s="95"/>
      <c r="D91" s="96"/>
      <c r="E91" s="95"/>
      <c r="F91" s="37"/>
      <c r="G91" s="37"/>
      <c r="H91" s="131"/>
      <c r="I91" s="79"/>
      <c r="J91" s="37"/>
      <c r="K91" s="37"/>
      <c r="L91" s="37"/>
      <c r="M91" s="37"/>
    </row>
    <row r="92" spans="1:16" x14ac:dyDescent="0.3">
      <c r="A92" s="99"/>
      <c r="B92" s="37"/>
      <c r="C92" s="95"/>
      <c r="D92" s="96"/>
      <c r="E92" s="95"/>
      <c r="F92" s="37"/>
      <c r="G92" s="37"/>
      <c r="H92" s="131"/>
      <c r="I92" s="79"/>
      <c r="J92" s="37"/>
      <c r="K92" s="37"/>
      <c r="L92" s="37"/>
      <c r="M92" s="37"/>
    </row>
    <row r="93" spans="1:16" x14ac:dyDescent="0.3">
      <c r="A93" s="99"/>
      <c r="B93" s="37"/>
      <c r="C93" s="95"/>
      <c r="D93" s="96"/>
      <c r="E93" s="95"/>
      <c r="F93" s="37"/>
      <c r="G93" s="37"/>
      <c r="H93" s="131"/>
      <c r="I93" s="79"/>
      <c r="J93" s="37"/>
      <c r="K93" s="37"/>
      <c r="L93" s="37"/>
      <c r="M93" s="37"/>
    </row>
    <row r="94" spans="1:16" x14ac:dyDescent="0.3">
      <c r="A94" s="99"/>
      <c r="B94" s="37"/>
      <c r="C94" s="95"/>
      <c r="D94" s="96"/>
      <c r="E94" s="95"/>
      <c r="F94" s="37"/>
      <c r="G94" s="37"/>
      <c r="H94" s="131"/>
      <c r="I94" s="79"/>
      <c r="J94" s="37"/>
      <c r="K94" s="37"/>
      <c r="L94" s="37"/>
      <c r="M94" s="37"/>
    </row>
    <row r="95" spans="1:16" x14ac:dyDescent="0.3">
      <c r="A95" s="99"/>
      <c r="B95" s="37"/>
      <c r="C95" s="95"/>
      <c r="D95" s="96"/>
      <c r="E95" s="95"/>
      <c r="F95" s="37"/>
      <c r="G95" s="37"/>
      <c r="H95" s="131"/>
      <c r="I95" s="79"/>
      <c r="J95" s="37"/>
      <c r="K95" s="37"/>
      <c r="L95" s="37"/>
      <c r="M95" s="37"/>
    </row>
    <row r="96" spans="1:16" ht="15" thickBot="1" x14ac:dyDescent="0.35">
      <c r="A96" s="55"/>
      <c r="B96" s="38"/>
      <c r="C96" s="55"/>
      <c r="D96" s="100"/>
      <c r="E96" s="55"/>
      <c r="F96" s="38"/>
      <c r="G96" s="38"/>
      <c r="H96" s="132"/>
      <c r="I96" s="83"/>
      <c r="J96" s="38"/>
      <c r="K96" s="38"/>
      <c r="L96" s="38"/>
      <c r="M96" s="38"/>
      <c r="P96" s="89"/>
    </row>
    <row r="97" spans="1:12" x14ac:dyDescent="0.3">
      <c r="A97" s="39" t="s">
        <v>69</v>
      </c>
      <c r="C97" s="84">
        <v>7.0000000000000007E-2</v>
      </c>
      <c r="H97" s="81"/>
      <c r="I97" s="81"/>
      <c r="J97" s="54"/>
      <c r="K97" s="103"/>
      <c r="L97" s="54"/>
    </row>
    <row r="98" spans="1:12" x14ac:dyDescent="0.3">
      <c r="A98" s="105" t="s">
        <v>72</v>
      </c>
      <c r="B98" s="54"/>
      <c r="C98" s="99"/>
      <c r="D98" s="104"/>
      <c r="E98" s="99"/>
      <c r="F98" s="54"/>
      <c r="G98" s="54"/>
      <c r="H98" s="81"/>
      <c r="I98" s="81"/>
      <c r="J98" s="54"/>
      <c r="K98" s="103"/>
      <c r="L98" s="5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G17"/>
  <sheetViews>
    <sheetView workbookViewId="0">
      <selection activeCell="G19" sqref="G19"/>
    </sheetView>
  </sheetViews>
  <sheetFormatPr defaultRowHeight="14.4" x14ac:dyDescent="0.3"/>
  <cols>
    <col min="4" max="4" width="8.6640625" customWidth="1"/>
    <col min="6" max="6" width="12.5546875" bestFit="1" customWidth="1"/>
  </cols>
  <sheetData>
    <row r="3" spans="1:6" x14ac:dyDescent="0.3">
      <c r="A3" t="s">
        <v>122</v>
      </c>
    </row>
    <row r="5" spans="1:6" x14ac:dyDescent="0.3">
      <c r="B5" t="s">
        <v>119</v>
      </c>
    </row>
    <row r="6" spans="1:6" x14ac:dyDescent="0.3">
      <c r="B6" t="s">
        <v>120</v>
      </c>
    </row>
    <row r="7" spans="1:6" x14ac:dyDescent="0.3">
      <c r="B7" t="s">
        <v>121</v>
      </c>
    </row>
    <row r="9" spans="1:6" x14ac:dyDescent="0.3">
      <c r="B9" t="s">
        <v>124</v>
      </c>
    </row>
    <row r="10" spans="1:6" x14ac:dyDescent="0.3">
      <c r="B10" t="s">
        <v>123</v>
      </c>
    </row>
    <row r="12" spans="1:6" x14ac:dyDescent="0.3">
      <c r="A12" t="s">
        <v>125</v>
      </c>
    </row>
    <row r="14" spans="1:6" x14ac:dyDescent="0.3">
      <c r="A14" s="35" t="s">
        <v>127</v>
      </c>
      <c r="B14" t="s">
        <v>126</v>
      </c>
    </row>
    <row r="16" spans="1:6" x14ac:dyDescent="0.3">
      <c r="B16" t="s">
        <v>128</v>
      </c>
      <c r="F16" s="1">
        <f>33700000</f>
        <v>33700000</v>
      </c>
    </row>
    <row r="17" spans="2:7" x14ac:dyDescent="0.3">
      <c r="B17" t="s">
        <v>129</v>
      </c>
      <c r="F17" s="34">
        <f>F16*13000/1000000000</f>
        <v>438.1</v>
      </c>
      <c r="G17"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vt:lpstr>
      <vt:lpstr>A-Project Costs</vt:lpstr>
      <vt:lpstr>B-Alt Project Cost</vt:lpstr>
      <vt:lpstr>C-Emmisions</vt:lpstr>
      <vt:lpstr>D-Operating Costs</vt:lpstr>
      <vt:lpstr>E-Travel Times</vt:lpstr>
      <vt:lpstr>F-Emergency Services</vt:lpstr>
      <vt:lpstr>G-Crash Reduction</vt:lpstr>
      <vt:lpstr>H-Employment Impacts</vt:lpstr>
      <vt:lpstr>I-Livability</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2018-07-18T22:52:12Z</dcterms:modified>
</cp:coreProperties>
</file>